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440" tabRatio="712" firstSheet="9" activeTab="11"/>
  </bookViews>
  <sheets>
    <sheet name="96,'97" sheetId="1" state="hidden" r:id="rId1"/>
    <sheet name="1998" sheetId="2" state="hidden" r:id="rId2"/>
    <sheet name="1999" sheetId="3" state="hidden" r:id="rId3"/>
    <sheet name="2000" sheetId="4" state="hidden" r:id="rId4"/>
    <sheet name="2001" sheetId="5" state="hidden" r:id="rId5"/>
    <sheet name="2002" sheetId="6" state="hidden" r:id="rId6"/>
    <sheet name="2003" sheetId="7" state="hidden" r:id="rId7"/>
    <sheet name="2004" sheetId="8" state="hidden" r:id="rId8"/>
    <sheet name="2005" sheetId="9" state="hidden" r:id="rId9"/>
    <sheet name="2006" sheetId="10" r:id="rId10"/>
    <sheet name="2007" sheetId="11" r:id="rId11"/>
    <sheet name="2008" sheetId="12" r:id="rId12"/>
  </sheets>
  <definedNames>
    <definedName name="_xlnm.Print_Area" localSheetId="2">'1999'!$A$1:$L$35</definedName>
    <definedName name="_xlnm.Print_Area" localSheetId="3">'2000'!$A$1:$J$35</definedName>
    <definedName name="_xlnm.Print_Area" localSheetId="5">'2002'!$A$1:$J$33</definedName>
    <definedName name="_xlnm.Print_Area" localSheetId="7">'2004'!$A$1:$J$38</definedName>
    <definedName name="_xlnm.Print_Area" localSheetId="10">'2007'!$A$1:$M$41</definedName>
  </definedNames>
  <calcPr calcMode="manual" fullCalcOnLoad="1"/>
</workbook>
</file>

<file path=xl/sharedStrings.xml><?xml version="1.0" encoding="utf-8"?>
<sst xmlns="http://schemas.openxmlformats.org/spreadsheetml/2006/main" count="634" uniqueCount="131">
  <si>
    <t>Foxhall Statistics</t>
  </si>
  <si>
    <t>Birthday</t>
  </si>
  <si>
    <t>Years</t>
  </si>
  <si>
    <t>Total</t>
  </si>
  <si>
    <t>Celebrants</t>
  </si>
  <si>
    <t>Week 1</t>
  </si>
  <si>
    <t>Week 2</t>
  </si>
  <si>
    <t>Week 3</t>
  </si>
  <si>
    <t>Week 4</t>
  </si>
  <si>
    <t>Week 5</t>
  </si>
  <si>
    <t xml:space="preserve">Years </t>
  </si>
  <si>
    <t>January</t>
  </si>
  <si>
    <t>February</t>
  </si>
  <si>
    <t>March</t>
  </si>
  <si>
    <t>April</t>
  </si>
  <si>
    <t>May</t>
  </si>
  <si>
    <t>June</t>
  </si>
  <si>
    <t>July</t>
  </si>
  <si>
    <t>August</t>
  </si>
  <si>
    <t>September</t>
  </si>
  <si>
    <t>October</t>
  </si>
  <si>
    <t>November</t>
  </si>
  <si>
    <t>December</t>
  </si>
  <si>
    <t>GrandTotal</t>
  </si>
  <si>
    <t>Average Sobriety</t>
  </si>
  <si>
    <t>10+ Years</t>
  </si>
  <si>
    <t>20+ Years</t>
  </si>
  <si>
    <t>BIRTHDAY</t>
  </si>
  <si>
    <t>missing</t>
  </si>
  <si>
    <t>Grand Total</t>
  </si>
  <si>
    <t>Foxhall Sobriety Anniversaries</t>
  </si>
  <si>
    <t>Number of Anniversary  Celebrants With</t>
  </si>
  <si>
    <t>Number of Newcomers</t>
  </si>
  <si>
    <t>Anniversary</t>
  </si>
  <si>
    <t>Total Years</t>
  </si>
  <si>
    <t>Average</t>
  </si>
  <si>
    <t>1 to 5 Yrs</t>
  </si>
  <si>
    <t>6 to 10 Yrs</t>
  </si>
  <si>
    <t>11 to 19 Yrs</t>
  </si>
  <si>
    <t>20 + Yrs</t>
  </si>
  <si>
    <t>Celebrated</t>
  </si>
  <si>
    <t>Sobriety</t>
  </si>
  <si>
    <t>&lt; 30 Days</t>
  </si>
  <si>
    <t>3 &amp; 6 Mo.</t>
  </si>
  <si>
    <t>March*</t>
  </si>
  <si>
    <t>April*</t>
  </si>
  <si>
    <t>Grand Totals</t>
  </si>
  <si>
    <t>Percentage of Total</t>
  </si>
  <si>
    <t>Percentage of Anniversary Celebrants Over Five Years</t>
  </si>
  <si>
    <t>Percentage of Anniversary Celebrants Under/Over Ten Years</t>
  </si>
  <si>
    <t>Percentage of Anniversary Celebrants vs Newcomers at meeting</t>
  </si>
  <si>
    <t>Number of Celebrants</t>
  </si>
  <si>
    <t>Years Celebrated</t>
  </si>
  <si>
    <t>Average Sobriety per Celebrant</t>
  </si>
  <si>
    <t>Celebrants with 20 Plus Years</t>
  </si>
  <si>
    <t>% of Celebrants with 20 + Years</t>
  </si>
  <si>
    <t>* Data from 2 meetings was not gathered, so an average of previous weeks was used to cover those weeks.</t>
  </si>
  <si>
    <t>October*</t>
  </si>
  <si>
    <t>December*</t>
  </si>
  <si>
    <t xml:space="preserve">Percentage of Total Celebrants </t>
  </si>
  <si>
    <t>Percentage of Total Anniversary Celebrants plus Newcomers</t>
  </si>
  <si>
    <t>Total Anniversary Celebrants Plus Newcomers</t>
  </si>
  <si>
    <t>Number of Anniv. Celebrants</t>
  </si>
  <si>
    <t xml:space="preserve">The anniversary celebrants are alcoholics who celebrated their sobriety at the Foxhall Group.  They are known to be continuously and </t>
  </si>
  <si>
    <t xml:space="preserve">contiguously sober and were given a birthday cake and chip by their sponsor.  </t>
  </si>
  <si>
    <t xml:space="preserve">*October 25th, the recording tape broke, and on December 7th, the anniversaries were not recorded.    For those dates, the birthday </t>
  </si>
  <si>
    <t>celebrants were determined from the District 20 News newsletter</t>
  </si>
  <si>
    <t xml:space="preserve">Number of </t>
  </si>
  <si>
    <t>Anniversary*</t>
  </si>
  <si>
    <t>Newcomers**</t>
  </si>
  <si>
    <t>Month</t>
  </si>
  <si>
    <t>Weekly Average**</t>
  </si>
  <si>
    <t>*The Anniversary celebrants are alcoholics who celebrated their sobriety at The Foxhall Group.  They are known by their friends and</t>
  </si>
  <si>
    <t xml:space="preserve">sponsors to be continuously and contiguously sober.  Each was given a birthday cake and chip at the meeting by his/her sponsor.  </t>
  </si>
  <si>
    <t xml:space="preserve">** Newcomers may stand and introduce themselves the first few weeks of their first 30 days sobriety, and again when they are </t>
  </si>
  <si>
    <t>3 &amp; 6 months sober, distorting the total.  Hence, an average weekly number has been calculated from both totals.  (53 Tuesdays in '00.)</t>
  </si>
  <si>
    <t xml:space="preserve">Average Weekly  </t>
  </si>
  <si>
    <t>Number of Newcomers**</t>
  </si>
  <si>
    <t>Annual Weekly Average</t>
  </si>
  <si>
    <t>*The Anniversary Celebrants are alcoholics who celebrated their sobriety at the Foxhall Group.  They are known by their friends and</t>
  </si>
  <si>
    <t>3 &amp; 6 months sober, distorting any grand total.  Therefore, an average weekly number has been calculated from these catagories.</t>
  </si>
  <si>
    <t>January***</t>
  </si>
  <si>
    <t>Percentage of Total Anniversary Celebrants Over Five Years</t>
  </si>
  <si>
    <t>Out of Towners</t>
  </si>
  <si>
    <t>Percentage of Total Anniversary Celebrants Under/Over Ten Years</t>
  </si>
  <si>
    <t>2002 (ytd)</t>
  </si>
  <si>
    <t xml:space="preserve">*** The record for years celebrated in one week is 204 years,  happening the 1st week in January, '02.  The previous record was 188 years, set the same week in ,97. </t>
  </si>
  <si>
    <t>PREVIOUS YEARS</t>
  </si>
  <si>
    <t xml:space="preserve"> contiguously sober.  Each was given a birthday cake and chip at the meeting by his/her sponsor.  </t>
  </si>
  <si>
    <t>grand total.  Therefore, an average weekly number has been calculated from these catagories.</t>
  </si>
  <si>
    <t>Annualized Wkly Average</t>
  </si>
  <si>
    <t>Number of Anniversary Celebrants</t>
  </si>
  <si>
    <t>Total Years Celebrated</t>
  </si>
  <si>
    <t>Anniver (1)</t>
  </si>
  <si>
    <t>(1) The Anniversary Celebrants are alcoholics who celebrated their sobriety at the Foxhall Group.  They are known by their friends and sponsors to be continuously and</t>
  </si>
  <si>
    <t>Celebr. (3)</t>
  </si>
  <si>
    <t xml:space="preserve">(3) The record for years celebrated at one meeting is 204 years,  happening the 1st week in January, '02.  The previous record was 188 years, set the same week in ,97. </t>
  </si>
  <si>
    <t>Number of Newcomers (2)</t>
  </si>
  <si>
    <t xml:space="preserve">(2) Newcomers may stand and introduce themselves the first few weeks of their first 30 days sobriety, and again when they are 3 &amp; 6 months sober, distorting any </t>
  </si>
  <si>
    <t xml:space="preserve"> contiguously sober.  Each was given a birthday cake and chip at the Foxhall meeting on Tuesday night in Omaha, NE by his/her sponsor.  </t>
  </si>
  <si>
    <t xml:space="preserve">(3) The record for years celebrated at one meeting is 204 years happening the 1st week in January, '02.  The next record was 203 years occuring Feb. 17, 2004. </t>
  </si>
  <si>
    <t xml:space="preserve">people.   No one can take credit for their own sobriety any more than a drowning person can take credit for grasping a life preserver.  Nor can anyone take credit for </t>
  </si>
  <si>
    <t xml:space="preserve">another person’s sobriety any more than the person throwing a lift preserver to a drowning person can take credit that it floats.  These statistics are published for the </t>
  </si>
  <si>
    <t xml:space="preserve">These statistics are kept on the sobriety anniversaries celebrated at the Foxhall Group in Omaha, NE.  This is not intended to aggrandize anyone or any group of </t>
  </si>
  <si>
    <t>Out of Towners*</t>
  </si>
  <si>
    <t xml:space="preserve">grand total.  Therefore, an average weekly number has been calculated from these catagories.  *The last five months of 2004's  "Number of Newcomers" were lost, so the </t>
  </si>
  <si>
    <t>previous five month average was used to calculate this average.</t>
  </si>
  <si>
    <t xml:space="preserve">people.   No one can take credit for their own sobriety any more than a drowning person can take credit for grasping a life preserver.  Furthermore, no one can take  </t>
  </si>
  <si>
    <t xml:space="preserve">are published for the same reason that we celebrate sobriety anniversaries – to illustrate to the newcomer that AA works, that the life preserver actually does float.  </t>
  </si>
  <si>
    <t xml:space="preserve">credit for another person’s sobriety any more than they can take credit that a life preserver they throw out to someone actually floats.  With that in mind, these statistics </t>
  </si>
  <si>
    <t>&lt; 30 Days(4)</t>
  </si>
  <si>
    <t>(4) The record number of newcomers at any one meeting is 19 happening the 4th Tuesday of April, '05.</t>
  </si>
  <si>
    <t xml:space="preserve">same reason that we celebrate sobriety anniversaries – to illustrate to the newcomer that AA works, that the life preserver actually does float.  …continuously and contiguously! </t>
  </si>
  <si>
    <t>20 to 29 Yrs</t>
  </si>
  <si>
    <t>30 plus Yrs</t>
  </si>
  <si>
    <t>YEAR</t>
  </si>
  <si>
    <t>Celebrants with 30 Plus Years</t>
  </si>
  <si>
    <t>(3) The record for years celebrated at one meeting is 265 years happening the 3rd week in February, '05.  The next record was 249 happening 11/15/05.</t>
  </si>
  <si>
    <t>(4) The record number of newcomers at any one meeting was 19 happening the 4th Tuesday of April, '05.</t>
  </si>
  <si>
    <t>(3) The record for years celebrated at one meeting was 265 years happening the 3rd week in February, '05.  The previous record was 204 years occuring the first week in January, 2002.</t>
  </si>
  <si>
    <t>grand total.  Therefore, an average weekly number has been calculated for these catagories.</t>
  </si>
  <si>
    <t xml:space="preserve">another person’s sobriety any more than the person throwing a life preserver to a drowning person can take credit that it floats.  These statistics are published for the </t>
  </si>
  <si>
    <t>Percentage of Total Anniversary Celebrants Under/Over Twenty Years</t>
  </si>
  <si>
    <t>Percentage of Celebrants with 30 Plus Years</t>
  </si>
  <si>
    <t>Percentage of Celebrants with 20 + Years</t>
  </si>
  <si>
    <t>Percentage of Celebrants with 30 + Years</t>
  </si>
  <si>
    <t>2008  YEAR TO DATE</t>
  </si>
  <si>
    <t>Sobriety (4)</t>
  </si>
  <si>
    <t>&lt; 30 Days(5)</t>
  </si>
  <si>
    <t>(5) The record number of newcomers at any one meeting was 19 happening the 4th Tuesday of April, '05.</t>
  </si>
  <si>
    <t>(4) This column represents a five years span, 1-5 and 6-10.  The remaining columns represent 10 plus years span.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</si>
</sst>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
    <numFmt numFmtId="168" formatCode="0.00000"/>
    <numFmt numFmtId="169" formatCode="0.0000"/>
    <numFmt numFmtId="170" formatCode="0.0000000"/>
    <numFmt numFmtId="171" formatCode="0.00000000"/>
    <numFmt numFmtId="172" formatCode="_(&quot;$&quot;* #,##0.000_);_(&quot;$&quot;* \(#,##0.000\);_(&quot;$&quot;* &quot;-&quot;??_);_(@_)"/>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s>
  <fonts count="16">
    <font>
      <sz val="10"/>
      <name val="Arial"/>
      <family val="0"/>
    </font>
    <font>
      <b/>
      <sz val="10"/>
      <name val="Arial"/>
      <family val="0"/>
    </font>
    <font>
      <i/>
      <sz val="10"/>
      <name val="Arial"/>
      <family val="0"/>
    </font>
    <font>
      <b/>
      <i/>
      <sz val="10"/>
      <name val="Arial"/>
      <family val="0"/>
    </font>
    <font>
      <sz val="8"/>
      <name val="Arial"/>
      <family val="2"/>
    </font>
    <font>
      <sz val="24"/>
      <name val="Arial"/>
      <family val="2"/>
    </font>
    <font>
      <sz val="26"/>
      <name val="Arial"/>
      <family val="2"/>
    </font>
    <font>
      <b/>
      <sz val="8"/>
      <name val="Arial"/>
      <family val="2"/>
    </font>
    <font>
      <sz val="12"/>
      <name val="Arial"/>
      <family val="2"/>
    </font>
    <font>
      <sz val="9.5"/>
      <name val="Arial"/>
      <family val="2"/>
    </font>
    <font>
      <sz val="7"/>
      <name val="Arial"/>
      <family val="2"/>
    </font>
    <font>
      <sz val="9"/>
      <name val="Arial"/>
      <family val="2"/>
    </font>
    <font>
      <u val="single"/>
      <sz val="10"/>
      <color indexed="12"/>
      <name val="Arial"/>
      <family val="0"/>
    </font>
    <font>
      <u val="single"/>
      <sz val="10"/>
      <color indexed="36"/>
      <name val="Arial"/>
      <family val="0"/>
    </font>
    <font>
      <b/>
      <sz val="12"/>
      <name val="Arial"/>
      <family val="2"/>
    </font>
    <font>
      <b/>
      <sz val="14"/>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3">
    <border>
      <left/>
      <right/>
      <top/>
      <bottom/>
      <diagonal/>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style="medium"/>
      <right style="medium"/>
      <top style="thin"/>
      <bottom style="thin"/>
    </border>
    <border>
      <left>
        <color indexed="63"/>
      </left>
      <right>
        <color indexed="63"/>
      </right>
      <top style="thin"/>
      <bottom style="double"/>
    </border>
    <border>
      <left style="medium"/>
      <right style="medium"/>
      <top style="thin"/>
      <bottom style="double"/>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medium"/>
      <top>
        <color indexed="63"/>
      </top>
      <bottom style="double"/>
    </border>
    <border>
      <left style="medium"/>
      <right style="medium"/>
      <top>
        <color indexed="63"/>
      </top>
      <bottom style="medium"/>
    </border>
    <border>
      <left style="medium"/>
      <right style="medium"/>
      <top style="medium"/>
      <bottom style="medium"/>
    </border>
    <border>
      <left>
        <color indexed="63"/>
      </left>
      <right style="medium"/>
      <top style="thin"/>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medium"/>
      <top style="double"/>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thin"/>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color indexed="63"/>
      </top>
      <bottom style="medium"/>
    </border>
    <border>
      <left style="thin"/>
      <right>
        <color indexed="63"/>
      </right>
      <top>
        <color indexed="63"/>
      </top>
      <bottom style="medium"/>
    </border>
    <border>
      <left style="medium"/>
      <right>
        <color indexed="63"/>
      </right>
      <top style="double"/>
      <bottom style="medium"/>
    </border>
    <border>
      <left style="thin"/>
      <right style="medium"/>
      <top style="double"/>
      <bottom style="medium"/>
    </border>
    <border>
      <left>
        <color indexed="63"/>
      </left>
      <right>
        <color indexed="63"/>
      </right>
      <top style="thin"/>
      <bottom>
        <color indexed="63"/>
      </bottom>
    </border>
    <border>
      <left style="medium"/>
      <right style="thin"/>
      <top>
        <color indexed="63"/>
      </top>
      <bottom style="thin"/>
    </border>
    <border>
      <left style="medium"/>
      <right>
        <color indexed="63"/>
      </right>
      <top style="double"/>
      <bottom style="thin"/>
    </border>
    <border>
      <left style="thin"/>
      <right style="medium"/>
      <top style="double"/>
      <bottom style="thin"/>
    </border>
    <border>
      <left style="medium"/>
      <right style="thin"/>
      <top style="thin"/>
      <bottom style="medium"/>
    </border>
    <border>
      <left style="thin"/>
      <right>
        <color indexed="63"/>
      </right>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double"/>
    </border>
    <border>
      <left>
        <color indexed="63"/>
      </left>
      <right style="medium"/>
      <top>
        <color indexed="63"/>
      </top>
      <bottom style="double"/>
    </border>
    <border>
      <left style="medium"/>
      <right style="thin"/>
      <top style="double"/>
      <bottom style="medium"/>
    </border>
    <border>
      <left>
        <color indexed="63"/>
      </left>
      <right>
        <color indexed="63"/>
      </right>
      <top style="thin"/>
      <bottom style="medium"/>
    </border>
    <border>
      <left>
        <color indexed="63"/>
      </left>
      <right style="medium"/>
      <top style="double"/>
      <bottom style="medium"/>
    </border>
    <border>
      <left style="medium"/>
      <right>
        <color indexed="63"/>
      </right>
      <top style="medium"/>
      <bottom style="double"/>
    </border>
    <border>
      <left>
        <color indexed="63"/>
      </left>
      <right style="medium"/>
      <top style="medium"/>
      <bottom style="double"/>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thin"/>
      <right style="thin"/>
      <top style="thin"/>
      <bottom>
        <color indexed="63"/>
      </bottom>
    </border>
    <border>
      <left>
        <color indexed="63"/>
      </left>
      <right style="thin"/>
      <top style="medium"/>
      <bottom style="thin"/>
    </border>
    <border>
      <left style="thin"/>
      <right>
        <color indexed="63"/>
      </right>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color indexed="63"/>
      </bottom>
    </border>
    <border>
      <left style="medium"/>
      <right style="medium"/>
      <top>
        <color indexed="63"/>
      </top>
      <bottom style="thin"/>
    </border>
    <border>
      <left style="thin"/>
      <right style="thin"/>
      <top style="thin"/>
      <bottom style="mediu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90">
    <xf numFmtId="0" fontId="0" fillId="0" borderId="0" xfId="0" applyAlignment="1">
      <alignment/>
    </xf>
    <xf numFmtId="0" fontId="0" fillId="0" borderId="0" xfId="0"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xf>
    <xf numFmtId="0" fontId="4"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1" fontId="4" fillId="0" borderId="9" xfId="0" applyNumberFormat="1" applyFont="1" applyBorder="1" applyAlignment="1">
      <alignment/>
    </xf>
    <xf numFmtId="164" fontId="4" fillId="0" borderId="10" xfId="0" applyNumberFormat="1" applyFont="1" applyBorder="1" applyAlignment="1">
      <alignment horizontal="center"/>
    </xf>
    <xf numFmtId="0" fontId="4" fillId="0" borderId="11" xfId="0" applyFont="1" applyBorder="1" applyAlignment="1">
      <alignment/>
    </xf>
    <xf numFmtId="0" fontId="4" fillId="0" borderId="12" xfId="0" applyFont="1" applyBorder="1" applyAlignment="1">
      <alignment horizontal="center"/>
    </xf>
    <xf numFmtId="9" fontId="4" fillId="0" borderId="13" xfId="21" applyFont="1" applyBorder="1" applyAlignment="1">
      <alignment horizontal="center"/>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9" fontId="4" fillId="0" borderId="16" xfId="21" applyFont="1" applyBorder="1" applyAlignment="1">
      <alignment horizontal="center"/>
    </xf>
    <xf numFmtId="0" fontId="5" fillId="0" borderId="0" xfId="0" applyFont="1" applyAlignment="1">
      <alignment/>
    </xf>
    <xf numFmtId="0" fontId="0" fillId="0" borderId="0" xfId="0" applyFont="1" applyBorder="1" applyAlignment="1">
      <alignment horizontal="center"/>
    </xf>
    <xf numFmtId="0" fontId="0" fillId="0" borderId="0" xfId="0" applyBorder="1" applyAlignment="1">
      <alignment/>
    </xf>
    <xf numFmtId="0" fontId="4" fillId="0" borderId="17" xfId="0" applyFont="1" applyBorder="1" applyAlignment="1">
      <alignment/>
    </xf>
    <xf numFmtId="0" fontId="4" fillId="0" borderId="18"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9" fontId="4" fillId="0" borderId="13" xfId="0" applyNumberFormat="1" applyFont="1" applyBorder="1" applyAlignment="1">
      <alignment horizontal="center"/>
    </xf>
    <xf numFmtId="0" fontId="4" fillId="0" borderId="0" xfId="0" applyFont="1" applyAlignment="1">
      <alignment/>
    </xf>
    <xf numFmtId="0" fontId="4" fillId="0" borderId="20" xfId="0" applyFont="1" applyBorder="1" applyAlignment="1">
      <alignment horizontal="center"/>
    </xf>
    <xf numFmtId="9" fontId="4" fillId="0" borderId="21" xfId="21" applyFont="1" applyBorder="1" applyAlignment="1">
      <alignment horizontal="center"/>
    </xf>
    <xf numFmtId="9" fontId="4" fillId="0" borderId="0" xfId="21" applyFont="1" applyBorder="1" applyAlignment="1">
      <alignment horizontal="center"/>
    </xf>
    <xf numFmtId="1" fontId="4" fillId="0" borderId="0" xfId="21" applyNumberFormat="1"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6" fillId="0" borderId="26" xfId="0" applyFont="1"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7" fillId="0" borderId="23" xfId="0" applyFont="1" applyBorder="1" applyAlignment="1">
      <alignment horizontal="center"/>
    </xf>
    <xf numFmtId="9" fontId="4" fillId="0" borderId="0" xfId="21" applyFont="1" applyAlignment="1">
      <alignment/>
    </xf>
    <xf numFmtId="166" fontId="4" fillId="0" borderId="0" xfId="0" applyNumberFormat="1" applyFont="1" applyAlignment="1">
      <alignment/>
    </xf>
    <xf numFmtId="0" fontId="8" fillId="0" borderId="29" xfId="0" applyFont="1" applyBorder="1" applyAlignment="1">
      <alignment/>
    </xf>
    <xf numFmtId="0" fontId="8" fillId="0" borderId="4" xfId="0" applyFont="1" applyBorder="1" applyAlignment="1">
      <alignment horizontal="center"/>
    </xf>
    <xf numFmtId="164" fontId="8" fillId="0" borderId="4" xfId="0" applyNumberFormat="1" applyFont="1" applyBorder="1" applyAlignment="1">
      <alignment horizontal="center"/>
    </xf>
    <xf numFmtId="0" fontId="8" fillId="0" borderId="3" xfId="0" applyFont="1" applyBorder="1" applyAlignment="1">
      <alignment horizontal="center"/>
    </xf>
    <xf numFmtId="0" fontId="8" fillId="0" borderId="30" xfId="0" applyFont="1" applyBorder="1" applyAlignment="1">
      <alignment horizontal="center"/>
    </xf>
    <xf numFmtId="0" fontId="8" fillId="0" borderId="29" xfId="0" applyFont="1" applyBorder="1" applyAlignment="1">
      <alignment horizontal="center"/>
    </xf>
    <xf numFmtId="0" fontId="8" fillId="0" borderId="24"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xf>
    <xf numFmtId="0" fontId="8" fillId="0" borderId="0"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33" xfId="0" applyFont="1" applyBorder="1" applyAlignment="1">
      <alignment/>
    </xf>
    <xf numFmtId="0" fontId="8" fillId="0" borderId="23" xfId="0" applyFont="1" applyBorder="1" applyAlignment="1">
      <alignment/>
    </xf>
    <xf numFmtId="0" fontId="8" fillId="0" borderId="6" xfId="0" applyFont="1" applyBorder="1" applyAlignment="1">
      <alignment horizontal="center"/>
    </xf>
    <xf numFmtId="0" fontId="8" fillId="0" borderId="5"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33" xfId="0" applyFont="1" applyFill="1" applyBorder="1" applyAlignment="1">
      <alignment/>
    </xf>
    <xf numFmtId="0" fontId="8" fillId="2" borderId="2" xfId="0" applyFont="1" applyFill="1" applyBorder="1" applyAlignment="1">
      <alignment horizontal="center"/>
    </xf>
    <xf numFmtId="164" fontId="8" fillId="2" borderId="38" xfId="0" applyNumberFormat="1"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8" fillId="2" borderId="32" xfId="0" applyFont="1" applyFill="1" applyBorder="1" applyAlignment="1">
      <alignment horizontal="center"/>
    </xf>
    <xf numFmtId="165" fontId="8" fillId="2" borderId="30" xfId="21" applyNumberFormat="1" applyFont="1" applyFill="1" applyBorder="1" applyAlignment="1">
      <alignment horizontal="center"/>
    </xf>
    <xf numFmtId="165" fontId="8" fillId="2" borderId="29" xfId="21" applyNumberFormat="1" applyFont="1" applyFill="1" applyBorder="1" applyAlignment="1">
      <alignment horizontal="center"/>
    </xf>
    <xf numFmtId="165" fontId="8" fillId="2" borderId="29" xfId="0" applyNumberFormat="1" applyFont="1" applyFill="1" applyBorder="1" applyAlignment="1">
      <alignment horizontal="centerContinuous"/>
    </xf>
    <xf numFmtId="0" fontId="8" fillId="2" borderId="41" xfId="0" applyFont="1" applyFill="1" applyBorder="1" applyAlignment="1">
      <alignment horizontal="centerContinuous"/>
    </xf>
    <xf numFmtId="165" fontId="8" fillId="2" borderId="3" xfId="0" applyNumberFormat="1" applyFont="1" applyFill="1" applyBorder="1" applyAlignment="1">
      <alignment horizontal="centerContinuous"/>
    </xf>
    <xf numFmtId="165" fontId="8" fillId="2" borderId="41" xfId="0" applyNumberFormat="1" applyFont="1" applyFill="1" applyBorder="1" applyAlignment="1">
      <alignment horizontal="centerContinuous"/>
    </xf>
    <xf numFmtId="9" fontId="8" fillId="2" borderId="29" xfId="21" applyFont="1" applyFill="1" applyBorder="1" applyAlignment="1">
      <alignment horizontal="centerContinuous"/>
    </xf>
    <xf numFmtId="9" fontId="8" fillId="2" borderId="3" xfId="21" applyFont="1" applyFill="1" applyBorder="1" applyAlignment="1">
      <alignment horizontal="centerContinuous"/>
    </xf>
    <xf numFmtId="9" fontId="8" fillId="2" borderId="41" xfId="21" applyFont="1" applyFill="1" applyBorder="1" applyAlignment="1">
      <alignment horizontal="centerContinuous"/>
    </xf>
    <xf numFmtId="0" fontId="8" fillId="0" borderId="0" xfId="0" applyFont="1" applyAlignment="1">
      <alignment/>
    </xf>
    <xf numFmtId="0" fontId="8" fillId="0" borderId="30" xfId="0" applyFont="1" applyBorder="1" applyAlignment="1">
      <alignment/>
    </xf>
    <xf numFmtId="0" fontId="8" fillId="0" borderId="0" xfId="0" applyFont="1" applyBorder="1" applyAlignment="1">
      <alignment/>
    </xf>
    <xf numFmtId="0" fontId="8" fillId="2" borderId="30" xfId="0" applyFont="1" applyFill="1" applyBorder="1" applyAlignment="1">
      <alignment/>
    </xf>
    <xf numFmtId="0" fontId="8" fillId="2" borderId="30" xfId="0" applyFont="1" applyFill="1" applyBorder="1" applyAlignment="1" quotePrefix="1">
      <alignment/>
    </xf>
    <xf numFmtId="164" fontId="8" fillId="2" borderId="30" xfId="0" applyNumberFormat="1" applyFont="1" applyFill="1" applyBorder="1" applyAlignment="1">
      <alignment/>
    </xf>
    <xf numFmtId="9" fontId="8" fillId="2" borderId="30" xfId="0" applyNumberFormat="1" applyFont="1" applyFill="1" applyBorder="1" applyAlignment="1">
      <alignment/>
    </xf>
    <xf numFmtId="165" fontId="8" fillId="2" borderId="30" xfId="0" applyNumberFormat="1" applyFont="1" applyFill="1" applyBorder="1" applyAlignment="1">
      <alignment/>
    </xf>
    <xf numFmtId="0" fontId="8" fillId="0" borderId="8" xfId="0" applyFont="1" applyBorder="1" applyAlignment="1">
      <alignment/>
    </xf>
    <xf numFmtId="0" fontId="8" fillId="0" borderId="9" xfId="0" applyFont="1" applyBorder="1" applyAlignment="1">
      <alignment/>
    </xf>
    <xf numFmtId="0" fontId="0" fillId="0" borderId="8" xfId="0" applyFont="1" applyBorder="1" applyAlignment="1">
      <alignment horizontal="centerContinuous"/>
    </xf>
    <xf numFmtId="0" fontId="0" fillId="0" borderId="9" xfId="0" applyFont="1" applyBorder="1" applyAlignment="1">
      <alignment horizontal="centerContinuous"/>
    </xf>
    <xf numFmtId="0" fontId="0" fillId="0" borderId="10" xfId="0" applyFont="1" applyBorder="1" applyAlignment="1">
      <alignment horizontal="centerContinuous"/>
    </xf>
    <xf numFmtId="0" fontId="1" fillId="0" borderId="23" xfId="0" applyFont="1" applyBorder="1" applyAlignment="1">
      <alignment horizontal="center"/>
    </xf>
    <xf numFmtId="0" fontId="9" fillId="0" borderId="29" xfId="0" applyFont="1" applyFill="1" applyBorder="1" applyAlignment="1">
      <alignment horizontal="left"/>
    </xf>
    <xf numFmtId="0" fontId="9" fillId="0" borderId="3" xfId="0" applyFont="1" applyFill="1" applyBorder="1" applyAlignment="1">
      <alignment horizontal="left"/>
    </xf>
    <xf numFmtId="0" fontId="9" fillId="0" borderId="41" xfId="0" applyFont="1" applyFill="1" applyBorder="1" applyAlignment="1">
      <alignment horizontal="left"/>
    </xf>
    <xf numFmtId="0" fontId="9" fillId="0" borderId="30" xfId="0" applyFont="1" applyBorder="1" applyAlignment="1">
      <alignment/>
    </xf>
    <xf numFmtId="0" fontId="10" fillId="0" borderId="0" xfId="0" applyFont="1" applyBorder="1" applyAlignment="1">
      <alignment/>
    </xf>
    <xf numFmtId="0" fontId="10" fillId="0" borderId="0" xfId="0" applyFont="1" applyAlignment="1">
      <alignment/>
    </xf>
    <xf numFmtId="0" fontId="8" fillId="2" borderId="42" xfId="0" applyFont="1" applyFill="1" applyBorder="1" applyAlignment="1">
      <alignment horizontal="center"/>
    </xf>
    <xf numFmtId="0" fontId="8" fillId="2" borderId="43" xfId="0" applyFont="1" applyFill="1" applyBorder="1" applyAlignment="1">
      <alignment horizontal="center"/>
    </xf>
    <xf numFmtId="0" fontId="9" fillId="0" borderId="0" xfId="0" applyFont="1" applyFill="1" applyBorder="1" applyAlignment="1">
      <alignment horizontal="left"/>
    </xf>
    <xf numFmtId="9" fontId="8" fillId="0" borderId="0" xfId="21" applyFont="1" applyFill="1" applyBorder="1" applyAlignment="1">
      <alignment horizontal="centerContinuous"/>
    </xf>
    <xf numFmtId="0" fontId="4" fillId="0" borderId="44" xfId="0" applyFont="1" applyBorder="1" applyAlignment="1">
      <alignment horizontal="centerContinuous"/>
    </xf>
    <xf numFmtId="0" fontId="4" fillId="0" borderId="26" xfId="0" applyFont="1" applyBorder="1" applyAlignment="1">
      <alignment horizontal="centerContinuous"/>
    </xf>
    <xf numFmtId="0" fontId="4" fillId="0" borderId="28" xfId="0" applyFont="1" applyBorder="1" applyAlignment="1">
      <alignment horizontal="centerContinuous"/>
    </xf>
    <xf numFmtId="0" fontId="4" fillId="0" borderId="45" xfId="0" applyFont="1" applyBorder="1" applyAlignment="1">
      <alignment horizontal="centerContinuous"/>
    </xf>
    <xf numFmtId="0" fontId="0" fillId="0" borderId="8" xfId="0" applyFont="1" applyBorder="1" applyAlignment="1">
      <alignment/>
    </xf>
    <xf numFmtId="0" fontId="0" fillId="0" borderId="9" xfId="0" applyFont="1" applyBorder="1" applyAlignment="1">
      <alignment/>
    </xf>
    <xf numFmtId="0" fontId="0" fillId="0" borderId="22" xfId="0" applyFont="1" applyBorder="1" applyAlignment="1">
      <alignment horizontal="center"/>
    </xf>
    <xf numFmtId="0" fontId="0" fillId="0" borderId="3" xfId="0" applyFont="1" applyBorder="1" applyAlignment="1">
      <alignment horizontal="center"/>
    </xf>
    <xf numFmtId="0" fontId="0" fillId="0" borderId="30" xfId="0" applyFont="1" applyBorder="1" applyAlignment="1">
      <alignment horizontal="center"/>
    </xf>
    <xf numFmtId="0" fontId="0" fillId="0" borderId="5" xfId="0" applyFont="1" applyBorder="1" applyAlignment="1">
      <alignment horizontal="center"/>
    </xf>
    <xf numFmtId="0" fontId="0" fillId="0" borderId="34" xfId="0" applyFont="1" applyBorder="1" applyAlignment="1">
      <alignment horizontal="center"/>
    </xf>
    <xf numFmtId="0" fontId="0" fillId="2" borderId="40" xfId="0" applyFont="1" applyFill="1" applyBorder="1" applyAlignment="1">
      <alignment horizontal="center"/>
    </xf>
    <xf numFmtId="0" fontId="0" fillId="0"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horizontal="center"/>
    </xf>
    <xf numFmtId="0" fontId="0" fillId="0" borderId="44" xfId="0" applyFont="1" applyBorder="1" applyAlignment="1">
      <alignment horizontal="centerContinuous"/>
    </xf>
    <xf numFmtId="0" fontId="0" fillId="0" borderId="45" xfId="0" applyFont="1" applyBorder="1" applyAlignment="1">
      <alignment horizontal="centerContinuous"/>
    </xf>
    <xf numFmtId="0" fontId="0" fillId="0" borderId="24" xfId="0" applyFont="1" applyBorder="1" applyAlignment="1">
      <alignment horizontal="center"/>
    </xf>
    <xf numFmtId="0" fontId="0" fillId="0" borderId="25" xfId="0" applyFont="1" applyBorder="1" applyAlignment="1">
      <alignment horizontal="center"/>
    </xf>
    <xf numFmtId="0" fontId="0" fillId="0" borderId="29" xfId="0" applyFont="1" applyBorder="1" applyAlignment="1">
      <alignment horizontal="center"/>
    </xf>
    <xf numFmtId="0" fontId="0" fillId="0" borderId="31"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4" fillId="0" borderId="3" xfId="0" applyFont="1" applyFill="1" applyBorder="1" applyAlignment="1">
      <alignment horizontal="left"/>
    </xf>
    <xf numFmtId="165" fontId="0" fillId="2" borderId="29" xfId="0" applyNumberFormat="1" applyFont="1" applyFill="1" applyBorder="1" applyAlignment="1">
      <alignment horizontal="centerContinuous"/>
    </xf>
    <xf numFmtId="165" fontId="0" fillId="2" borderId="41" xfId="0" applyNumberFormat="1" applyFont="1" applyFill="1" applyBorder="1" applyAlignment="1">
      <alignment horizontal="centerContinuous"/>
    </xf>
    <xf numFmtId="0" fontId="4" fillId="0" borderId="30" xfId="0" applyFont="1" applyBorder="1" applyAlignment="1">
      <alignment/>
    </xf>
    <xf numFmtId="0" fontId="0" fillId="2" borderId="30" xfId="0" applyFont="1" applyFill="1" applyBorder="1" applyAlignment="1">
      <alignment horizontal="center"/>
    </xf>
    <xf numFmtId="0" fontId="0" fillId="2" borderId="30" xfId="0" applyFont="1" applyFill="1" applyBorder="1" applyAlignment="1" quotePrefix="1">
      <alignment horizontal="center"/>
    </xf>
    <xf numFmtId="164" fontId="0" fillId="2" borderId="30" xfId="0" applyNumberFormat="1" applyFont="1" applyFill="1" applyBorder="1" applyAlignment="1">
      <alignment horizontal="center"/>
    </xf>
    <xf numFmtId="9" fontId="0" fillId="2" borderId="30" xfId="0" applyNumberFormat="1" applyFont="1" applyFill="1" applyBorder="1" applyAlignment="1">
      <alignment horizontal="center"/>
    </xf>
    <xf numFmtId="165" fontId="0" fillId="2" borderId="30" xfId="0" applyNumberFormat="1" applyFont="1" applyFill="1" applyBorder="1" applyAlignment="1">
      <alignment horizontal="center"/>
    </xf>
    <xf numFmtId="0" fontId="0" fillId="0" borderId="0" xfId="0" applyBorder="1" applyAlignment="1">
      <alignment horizontal="centerContinuous"/>
    </xf>
    <xf numFmtId="0" fontId="0" fillId="0" borderId="0" xfId="0" applyFont="1" applyFill="1" applyBorder="1" applyAlignment="1">
      <alignment/>
    </xf>
    <xf numFmtId="0" fontId="8" fillId="0" borderId="0" xfId="0" applyFont="1" applyFill="1" applyBorder="1" applyAlignment="1">
      <alignment/>
    </xf>
    <xf numFmtId="165" fontId="0" fillId="2" borderId="3" xfId="0" applyNumberFormat="1" applyFont="1" applyFill="1" applyBorder="1" applyAlignment="1">
      <alignment horizontal="centerContinuous"/>
    </xf>
    <xf numFmtId="0" fontId="0" fillId="0" borderId="0" xfId="0" applyFont="1" applyFill="1" applyAlignment="1">
      <alignment/>
    </xf>
    <xf numFmtId="0" fontId="6" fillId="0" borderId="27" xfId="0" applyFont="1" applyBorder="1" applyAlignment="1">
      <alignment horizontal="centerContinuous"/>
    </xf>
    <xf numFmtId="0" fontId="6" fillId="0" borderId="28" xfId="0" applyFont="1" applyBorder="1" applyAlignment="1">
      <alignment horizontal="centerContinuous"/>
    </xf>
    <xf numFmtId="0" fontId="0" fillId="0" borderId="42" xfId="0" applyBorder="1" applyAlignment="1">
      <alignment/>
    </xf>
    <xf numFmtId="0" fontId="0" fillId="0" borderId="46" xfId="0" applyFont="1" applyFill="1" applyBorder="1" applyAlignment="1">
      <alignment/>
    </xf>
    <xf numFmtId="0" fontId="8" fillId="0" borderId="46" xfId="0" applyFont="1" applyFill="1" applyBorder="1" applyAlignment="1">
      <alignment/>
    </xf>
    <xf numFmtId="0" fontId="4" fillId="0" borderId="41" xfId="0" applyFont="1" applyFill="1" applyBorder="1" applyAlignment="1">
      <alignment horizontal="left"/>
    </xf>
    <xf numFmtId="165" fontId="4" fillId="0" borderId="30" xfId="0" applyNumberFormat="1" applyFont="1" applyFill="1" applyBorder="1" applyAlignment="1">
      <alignment horizontal="center"/>
    </xf>
    <xf numFmtId="0" fontId="8" fillId="0" borderId="47" xfId="0" applyFont="1" applyFill="1" applyBorder="1" applyAlignment="1">
      <alignment/>
    </xf>
    <xf numFmtId="0" fontId="8" fillId="0" borderId="23" xfId="0" applyFont="1" applyFill="1" applyBorder="1" applyAlignment="1">
      <alignment/>
    </xf>
    <xf numFmtId="0" fontId="8" fillId="0" borderId="48" xfId="0" applyFont="1" applyFill="1" applyBorder="1" applyAlignment="1">
      <alignment/>
    </xf>
    <xf numFmtId="0" fontId="4" fillId="0" borderId="40" xfId="0" applyFont="1" applyBorder="1" applyAlignment="1">
      <alignment/>
    </xf>
    <xf numFmtId="0" fontId="0" fillId="0" borderId="49" xfId="0" applyFont="1" applyBorder="1" applyAlignment="1">
      <alignment/>
    </xf>
    <xf numFmtId="0" fontId="0" fillId="0" borderId="50" xfId="0" applyFont="1" applyBorder="1" applyAlignment="1">
      <alignment horizontal="center"/>
    </xf>
    <xf numFmtId="0" fontId="0" fillId="0" borderId="51" xfId="0" applyFont="1" applyBorder="1" applyAlignment="1">
      <alignment horizontal="center"/>
    </xf>
    <xf numFmtId="1" fontId="0" fillId="0" borderId="3" xfId="0" applyNumberFormat="1" applyFont="1" applyBorder="1" applyAlignment="1">
      <alignment horizontal="center"/>
    </xf>
    <xf numFmtId="1" fontId="0" fillId="0" borderId="30" xfId="0" applyNumberFormat="1" applyFont="1" applyBorder="1" applyAlignment="1">
      <alignment horizontal="center"/>
    </xf>
    <xf numFmtId="1" fontId="0" fillId="0" borderId="29" xfId="0" applyNumberFormat="1" applyFont="1" applyBorder="1" applyAlignment="1">
      <alignment horizontal="center"/>
    </xf>
    <xf numFmtId="1" fontId="0" fillId="0" borderId="24" xfId="0" applyNumberFormat="1" applyFont="1" applyBorder="1" applyAlignment="1">
      <alignment horizontal="center"/>
    </xf>
    <xf numFmtId="1" fontId="0" fillId="0" borderId="31" xfId="0" applyNumberFormat="1" applyFont="1" applyBorder="1" applyAlignment="1">
      <alignment horizontal="center"/>
    </xf>
    <xf numFmtId="1" fontId="0" fillId="2" borderId="40" xfId="0" applyNumberFormat="1" applyFont="1" applyFill="1" applyBorder="1" applyAlignment="1">
      <alignment horizontal="center"/>
    </xf>
    <xf numFmtId="1" fontId="0" fillId="2" borderId="30" xfId="0" applyNumberFormat="1" applyFont="1" applyFill="1" applyBorder="1" applyAlignment="1" quotePrefix="1">
      <alignment horizontal="center"/>
    </xf>
    <xf numFmtId="1" fontId="0" fillId="2" borderId="30" xfId="0" applyNumberFormat="1" applyFont="1" applyFill="1" applyBorder="1" applyAlignment="1">
      <alignment horizontal="center"/>
    </xf>
    <xf numFmtId="0" fontId="1" fillId="0" borderId="42" xfId="0" applyFont="1" applyBorder="1" applyAlignment="1">
      <alignment horizontal="center"/>
    </xf>
    <xf numFmtId="0" fontId="0" fillId="0" borderId="52" xfId="0" applyFont="1" applyBorder="1" applyAlignment="1">
      <alignment/>
    </xf>
    <xf numFmtId="0" fontId="0" fillId="0" borderId="44" xfId="0" applyFont="1" applyBorder="1" applyAlignment="1">
      <alignment/>
    </xf>
    <xf numFmtId="0" fontId="0" fillId="0" borderId="53" xfId="0" applyFont="1" applyBorder="1" applyAlignment="1">
      <alignment/>
    </xf>
    <xf numFmtId="0" fontId="0" fillId="0" borderId="42" xfId="0" applyFont="1" applyBorder="1" applyAlignment="1">
      <alignment/>
    </xf>
    <xf numFmtId="0" fontId="4" fillId="0" borderId="52" xfId="0" applyFont="1" applyFill="1" applyBorder="1" applyAlignment="1">
      <alignment horizontal="left"/>
    </xf>
    <xf numFmtId="0" fontId="0" fillId="0" borderId="46" xfId="0" applyBorder="1" applyAlignment="1">
      <alignment/>
    </xf>
    <xf numFmtId="164" fontId="0" fillId="0" borderId="30" xfId="0" applyNumberFormat="1" applyFont="1" applyBorder="1" applyAlignment="1">
      <alignment horizontal="center"/>
    </xf>
    <xf numFmtId="0" fontId="0" fillId="0" borderId="40" xfId="0" applyFont="1" applyBorder="1" applyAlignment="1">
      <alignment horizontal="center"/>
    </xf>
    <xf numFmtId="0" fontId="0" fillId="0" borderId="10" xfId="0" applyFont="1" applyBorder="1" applyAlignment="1">
      <alignment/>
    </xf>
    <xf numFmtId="164" fontId="0" fillId="0" borderId="34" xfId="0" applyNumberFormat="1" applyFont="1" applyBorder="1" applyAlignment="1">
      <alignment horizontal="center"/>
    </xf>
    <xf numFmtId="0" fontId="4" fillId="0" borderId="54" xfId="0" applyFont="1" applyFill="1" applyBorder="1" applyAlignment="1">
      <alignment/>
    </xf>
    <xf numFmtId="1" fontId="0" fillId="2" borderId="55" xfId="0" applyNumberFormat="1" applyFont="1" applyFill="1" applyBorder="1" applyAlignment="1">
      <alignment horizontal="center"/>
    </xf>
    <xf numFmtId="164" fontId="0" fillId="2" borderId="55" xfId="0" applyNumberFormat="1" applyFont="1" applyFill="1" applyBorder="1" applyAlignment="1">
      <alignment horizontal="center"/>
    </xf>
    <xf numFmtId="1" fontId="0" fillId="2" borderId="15" xfId="0" applyNumberFormat="1" applyFont="1" applyFill="1" applyBorder="1" applyAlignment="1">
      <alignment horizontal="center"/>
    </xf>
    <xf numFmtId="1" fontId="0" fillId="2" borderId="56" xfId="0" applyNumberFormat="1" applyFont="1" applyFill="1" applyBorder="1" applyAlignment="1">
      <alignment horizontal="center"/>
    </xf>
    <xf numFmtId="1" fontId="0" fillId="2" borderId="57" xfId="0" applyNumberFormat="1" applyFont="1" applyFill="1" applyBorder="1" applyAlignment="1">
      <alignment horizontal="center"/>
    </xf>
    <xf numFmtId="1" fontId="0" fillId="2" borderId="58" xfId="0" applyNumberFormat="1" applyFont="1" applyFill="1" applyBorder="1" applyAlignment="1">
      <alignment horizontal="center"/>
    </xf>
    <xf numFmtId="165" fontId="0" fillId="2" borderId="40" xfId="21" applyNumberFormat="1" applyFont="1" applyFill="1" applyBorder="1" applyAlignment="1">
      <alignment horizontal="center"/>
    </xf>
    <xf numFmtId="165" fontId="0" fillId="2" borderId="32" xfId="21" applyNumberFormat="1" applyFont="1" applyFill="1" applyBorder="1" applyAlignment="1">
      <alignment horizontal="center"/>
    </xf>
    <xf numFmtId="1" fontId="4" fillId="2" borderId="56" xfId="0" applyNumberFormat="1" applyFont="1" applyFill="1" applyBorder="1" applyAlignment="1">
      <alignment horizontal="centerContinuous"/>
    </xf>
    <xf numFmtId="1" fontId="4" fillId="2" borderId="15" xfId="0" applyNumberFormat="1" applyFont="1" applyFill="1" applyBorder="1" applyAlignment="1">
      <alignment horizontal="centerContinuous"/>
    </xf>
    <xf numFmtId="1" fontId="4" fillId="2" borderId="16" xfId="0" applyNumberFormat="1" applyFont="1" applyFill="1" applyBorder="1" applyAlignment="1">
      <alignment horizontal="centerContinuous"/>
    </xf>
    <xf numFmtId="9" fontId="0" fillId="2" borderId="30" xfId="21" applyFont="1" applyFill="1" applyBorder="1" applyAlignment="1">
      <alignment horizontal="centerContinuous"/>
    </xf>
    <xf numFmtId="9" fontId="0" fillId="2" borderId="30" xfId="21" applyFill="1" applyBorder="1" applyAlignment="1">
      <alignment horizontal="centerContinuous"/>
    </xf>
    <xf numFmtId="9" fontId="0" fillId="2" borderId="31" xfId="21" applyFill="1" applyBorder="1" applyAlignment="1">
      <alignment horizontal="centerContinuous"/>
    </xf>
    <xf numFmtId="0" fontId="4" fillId="0" borderId="14" xfId="0" applyFont="1" applyFill="1" applyBorder="1" applyAlignment="1">
      <alignment horizontal="left"/>
    </xf>
    <xf numFmtId="0" fontId="4" fillId="0" borderId="15" xfId="0" applyFont="1" applyFill="1" applyBorder="1" applyAlignment="1">
      <alignment horizontal="left"/>
    </xf>
    <xf numFmtId="0" fontId="0" fillId="0" borderId="15" xfId="0" applyBorder="1" applyAlignment="1">
      <alignment/>
    </xf>
    <xf numFmtId="0" fontId="4" fillId="0" borderId="53" xfId="0" applyFont="1" applyFill="1" applyBorder="1" applyAlignment="1">
      <alignment horizontal="left"/>
    </xf>
    <xf numFmtId="0" fontId="4" fillId="0" borderId="59" xfId="0" applyFont="1" applyFill="1" applyBorder="1" applyAlignment="1">
      <alignment horizontal="left"/>
    </xf>
    <xf numFmtId="0" fontId="4" fillId="0" borderId="15" xfId="0" applyFont="1" applyBorder="1" applyAlignment="1">
      <alignment/>
    </xf>
    <xf numFmtId="0" fontId="0" fillId="0" borderId="10" xfId="0" applyFont="1" applyBorder="1" applyAlignment="1">
      <alignment horizontal="center"/>
    </xf>
    <xf numFmtId="0" fontId="8" fillId="0" borderId="46" xfId="0" applyFont="1" applyBorder="1" applyAlignment="1">
      <alignment/>
    </xf>
    <xf numFmtId="0" fontId="4" fillId="0" borderId="60" xfId="0" applyFont="1" applyBorder="1" applyAlignment="1">
      <alignment/>
    </xf>
    <xf numFmtId="0" fontId="4" fillId="0" borderId="24" xfId="0" applyFont="1" applyBorder="1" applyAlignment="1">
      <alignment/>
    </xf>
    <xf numFmtId="0" fontId="0" fillId="0" borderId="14" xfId="0" applyBorder="1" applyAlignment="1">
      <alignment/>
    </xf>
    <xf numFmtId="0" fontId="0" fillId="0" borderId="16" xfId="0" applyBorder="1" applyAlignment="1">
      <alignment/>
    </xf>
    <xf numFmtId="0" fontId="0" fillId="0" borderId="42" xfId="0" applyFont="1" applyBorder="1" applyAlignment="1">
      <alignment horizontal="center"/>
    </xf>
    <xf numFmtId="1" fontId="0" fillId="3" borderId="55" xfId="0" applyNumberFormat="1" applyFont="1" applyFill="1" applyBorder="1" applyAlignment="1">
      <alignment horizontal="center"/>
    </xf>
    <xf numFmtId="164" fontId="0" fillId="3" borderId="55" xfId="0" applyNumberFormat="1" applyFont="1" applyFill="1" applyBorder="1" applyAlignment="1">
      <alignment horizontal="center"/>
    </xf>
    <xf numFmtId="1" fontId="0" fillId="3" borderId="15" xfId="0" applyNumberFormat="1" applyFont="1" applyFill="1" applyBorder="1" applyAlignment="1">
      <alignment horizontal="center"/>
    </xf>
    <xf numFmtId="1" fontId="0" fillId="3" borderId="56" xfId="0" applyNumberFormat="1" applyFont="1" applyFill="1" applyBorder="1" applyAlignment="1">
      <alignment horizontal="center"/>
    </xf>
    <xf numFmtId="165" fontId="0" fillId="3" borderId="40" xfId="21" applyNumberFormat="1" applyFont="1" applyFill="1" applyBorder="1" applyAlignment="1">
      <alignment horizontal="center"/>
    </xf>
    <xf numFmtId="165" fontId="0" fillId="3" borderId="32" xfId="21" applyNumberFormat="1" applyFont="1" applyFill="1" applyBorder="1" applyAlignment="1">
      <alignment horizontal="center"/>
    </xf>
    <xf numFmtId="165" fontId="0" fillId="3" borderId="29" xfId="0" applyNumberFormat="1" applyFont="1" applyFill="1" applyBorder="1" applyAlignment="1">
      <alignment horizontal="centerContinuous"/>
    </xf>
    <xf numFmtId="165" fontId="0" fillId="3" borderId="3" xfId="0" applyNumberFormat="1" applyFont="1" applyFill="1" applyBorder="1" applyAlignment="1">
      <alignment horizontal="centerContinuous"/>
    </xf>
    <xf numFmtId="165" fontId="0" fillId="3" borderId="41" xfId="0" applyNumberFormat="1" applyFont="1" applyFill="1" applyBorder="1" applyAlignment="1">
      <alignment horizontal="centerContinuous"/>
    </xf>
    <xf numFmtId="9" fontId="0" fillId="3" borderId="30" xfId="21" applyFont="1" applyFill="1" applyBorder="1" applyAlignment="1">
      <alignment horizontal="centerContinuous"/>
    </xf>
    <xf numFmtId="9" fontId="0" fillId="3" borderId="30" xfId="21" applyFill="1" applyBorder="1" applyAlignment="1">
      <alignment horizontal="centerContinuous"/>
    </xf>
    <xf numFmtId="9" fontId="0" fillId="3" borderId="31" xfId="21" applyFill="1" applyBorder="1" applyAlignment="1">
      <alignment horizontal="centerContinuous"/>
    </xf>
    <xf numFmtId="0" fontId="0" fillId="3" borderId="40" xfId="0" applyFont="1" applyFill="1" applyBorder="1" applyAlignment="1">
      <alignment horizontal="center"/>
    </xf>
    <xf numFmtId="1" fontId="0" fillId="3" borderId="40" xfId="0" applyNumberFormat="1" applyFont="1" applyFill="1" applyBorder="1" applyAlignment="1">
      <alignment horizontal="center"/>
    </xf>
    <xf numFmtId="0" fontId="0" fillId="3" borderId="30" xfId="0" applyFont="1" applyFill="1" applyBorder="1" applyAlignment="1" quotePrefix="1">
      <alignment horizontal="center"/>
    </xf>
    <xf numFmtId="1" fontId="0" fillId="3" borderId="30" xfId="0" applyNumberFormat="1" applyFont="1" applyFill="1" applyBorder="1" applyAlignment="1" quotePrefix="1">
      <alignment horizontal="center"/>
    </xf>
    <xf numFmtId="1" fontId="0" fillId="3" borderId="30" xfId="0" applyNumberFormat="1" applyFont="1" applyFill="1" applyBorder="1" applyAlignment="1">
      <alignment horizontal="center"/>
    </xf>
    <xf numFmtId="0" fontId="0" fillId="3" borderId="30" xfId="0" applyFont="1" applyFill="1" applyBorder="1" applyAlignment="1">
      <alignment horizontal="center"/>
    </xf>
    <xf numFmtId="164" fontId="0" fillId="3" borderId="30" xfId="0" applyNumberFormat="1" applyFont="1" applyFill="1" applyBorder="1" applyAlignment="1">
      <alignment horizontal="center"/>
    </xf>
    <xf numFmtId="9" fontId="0" fillId="3" borderId="30" xfId="0" applyNumberFormat="1" applyFont="1" applyFill="1" applyBorder="1" applyAlignment="1">
      <alignment horizontal="center"/>
    </xf>
    <xf numFmtId="165" fontId="0" fillId="3" borderId="30" xfId="0" applyNumberFormat="1" applyFont="1" applyFill="1" applyBorder="1" applyAlignment="1">
      <alignment horizontal="center"/>
    </xf>
    <xf numFmtId="1" fontId="0" fillId="3" borderId="15" xfId="0" applyNumberFormat="1" applyFont="1" applyFill="1" applyBorder="1" applyAlignment="1">
      <alignment horizontal="centerContinuous"/>
    </xf>
    <xf numFmtId="0" fontId="0" fillId="0" borderId="26" xfId="0" applyFont="1" applyBorder="1" applyAlignment="1">
      <alignment horizontal="centerContinuous"/>
    </xf>
    <xf numFmtId="0" fontId="0" fillId="0" borderId="28" xfId="0" applyFont="1" applyBorder="1" applyAlignment="1">
      <alignment horizontal="centerContinuous"/>
    </xf>
    <xf numFmtId="1" fontId="0" fillId="3" borderId="56" xfId="0" applyNumberFormat="1" applyFont="1" applyFill="1" applyBorder="1" applyAlignment="1">
      <alignment horizontal="centerContinuous"/>
    </xf>
    <xf numFmtId="1" fontId="0" fillId="3" borderId="16" xfId="0" applyNumberFormat="1" applyFont="1" applyFill="1" applyBorder="1" applyAlignment="1">
      <alignment horizontal="centerContinuous"/>
    </xf>
    <xf numFmtId="9" fontId="0" fillId="3" borderId="29" xfId="21" applyFont="1" applyFill="1" applyBorder="1" applyAlignment="1">
      <alignment horizontal="centerContinuous"/>
    </xf>
    <xf numFmtId="1" fontId="0" fillId="0" borderId="42" xfId="0" applyNumberFormat="1" applyBorder="1" applyAlignment="1">
      <alignment horizontal="centerContinuous"/>
    </xf>
    <xf numFmtId="0" fontId="0" fillId="0" borderId="46" xfId="0" applyBorder="1" applyAlignment="1">
      <alignment horizontal="centerContinuous"/>
    </xf>
    <xf numFmtId="1" fontId="0" fillId="3" borderId="61" xfId="0" applyNumberFormat="1" applyFont="1" applyFill="1" applyBorder="1" applyAlignment="1">
      <alignment horizontal="center"/>
    </xf>
    <xf numFmtId="1" fontId="0" fillId="3" borderId="62" xfId="0" applyNumberFormat="1" applyFont="1" applyFill="1" applyBorder="1" applyAlignment="1">
      <alignment horizontal="center"/>
    </xf>
    <xf numFmtId="164" fontId="0" fillId="0" borderId="63" xfId="0" applyNumberFormat="1" applyBorder="1" applyAlignment="1">
      <alignment horizontal="center"/>
    </xf>
    <xf numFmtId="0" fontId="0" fillId="0" borderId="64" xfId="0" applyBorder="1" applyAlignment="1">
      <alignment/>
    </xf>
    <xf numFmtId="164" fontId="0" fillId="0" borderId="65" xfId="0" applyNumberFormat="1" applyFont="1" applyFill="1" applyBorder="1" applyAlignment="1">
      <alignment horizontal="center"/>
    </xf>
    <xf numFmtId="0" fontId="0" fillId="0" borderId="46" xfId="0" applyFont="1" applyBorder="1" applyAlignment="1">
      <alignment/>
    </xf>
    <xf numFmtId="0" fontId="0" fillId="0" borderId="15" xfId="0" applyFont="1" applyBorder="1" applyAlignment="1">
      <alignment/>
    </xf>
    <xf numFmtId="0" fontId="0" fillId="0" borderId="16" xfId="0" applyFont="1" applyBorder="1" applyAlignment="1">
      <alignment/>
    </xf>
    <xf numFmtId="165" fontId="0" fillId="3" borderId="30" xfId="21" applyNumberFormat="1" applyFont="1" applyFill="1" applyBorder="1" applyAlignment="1">
      <alignment horizontal="center"/>
    </xf>
    <xf numFmtId="164" fontId="0" fillId="0" borderId="0" xfId="0" applyNumberFormat="1" applyBorder="1" applyAlignment="1">
      <alignment horizontal="center"/>
    </xf>
    <xf numFmtId="0" fontId="0" fillId="0" borderId="66" xfId="0" applyFont="1" applyBorder="1" applyAlignment="1">
      <alignment horizontal="center"/>
    </xf>
    <xf numFmtId="1" fontId="0" fillId="3" borderId="67" xfId="0" applyNumberFormat="1" applyFont="1" applyFill="1" applyBorder="1" applyAlignment="1">
      <alignment horizontal="center"/>
    </xf>
    <xf numFmtId="165" fontId="0" fillId="3" borderId="68" xfId="21" applyNumberFormat="1" applyFont="1" applyFill="1" applyBorder="1" applyAlignment="1">
      <alignment horizontal="center"/>
    </xf>
    <xf numFmtId="165" fontId="0" fillId="3" borderId="25" xfId="0" applyNumberFormat="1" applyFont="1" applyFill="1" applyBorder="1" applyAlignment="1">
      <alignment horizontal="centerContinuous"/>
    </xf>
    <xf numFmtId="165" fontId="0" fillId="3" borderId="69" xfId="0" applyNumberFormat="1" applyFont="1" applyFill="1" applyBorder="1" applyAlignment="1">
      <alignment horizontal="centerContinuous"/>
    </xf>
    <xf numFmtId="165" fontId="0" fillId="3" borderId="70" xfId="0" applyNumberFormat="1" applyFont="1" applyFill="1" applyBorder="1" applyAlignment="1">
      <alignment horizontal="centerContinuous"/>
    </xf>
    <xf numFmtId="165" fontId="0" fillId="3" borderId="21" xfId="0" applyNumberFormat="1" applyFont="1" applyFill="1" applyBorder="1" applyAlignment="1">
      <alignment horizontal="centerContinuous"/>
    </xf>
    <xf numFmtId="164" fontId="0" fillId="0" borderId="46" xfId="0" applyNumberFormat="1" applyFont="1" applyFill="1" applyBorder="1" applyAlignment="1">
      <alignment horizontal="center"/>
    </xf>
    <xf numFmtId="1" fontId="0" fillId="3" borderId="71" xfId="0" applyNumberFormat="1" applyFont="1" applyFill="1" applyBorder="1" applyAlignment="1">
      <alignment horizontal="centerContinuous"/>
    </xf>
    <xf numFmtId="1" fontId="0" fillId="3" borderId="72" xfId="0" applyNumberFormat="1" applyFont="1" applyFill="1" applyBorder="1" applyAlignment="1">
      <alignment horizontal="centerContinuous"/>
    </xf>
    <xf numFmtId="1" fontId="0" fillId="0" borderId="73" xfId="0" applyNumberFormat="1" applyBorder="1" applyAlignment="1">
      <alignment horizontal="center"/>
    </xf>
    <xf numFmtId="0" fontId="0" fillId="0" borderId="52" xfId="0" applyFont="1" applyFill="1" applyBorder="1" applyAlignment="1">
      <alignment horizontal="left"/>
    </xf>
    <xf numFmtId="0" fontId="0" fillId="0" borderId="3" xfId="0" applyFont="1" applyFill="1" applyBorder="1" applyAlignment="1">
      <alignment horizontal="left"/>
    </xf>
    <xf numFmtId="0" fontId="0" fillId="0" borderId="41"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horizontal="left"/>
    </xf>
    <xf numFmtId="1" fontId="0" fillId="0" borderId="75" xfId="0" applyNumberFormat="1" applyBorder="1" applyAlignment="1">
      <alignment horizontal="center"/>
    </xf>
    <xf numFmtId="0" fontId="0" fillId="0" borderId="60" xfId="0" applyFont="1" applyBorder="1" applyAlignment="1">
      <alignment/>
    </xf>
    <xf numFmtId="0" fontId="0" fillId="0" borderId="24" xfId="0" applyFont="1" applyBorder="1" applyAlignment="1">
      <alignment/>
    </xf>
    <xf numFmtId="0" fontId="0" fillId="0" borderId="0" xfId="0" applyAlignment="1">
      <alignment horizontal="center"/>
    </xf>
    <xf numFmtId="0" fontId="0" fillId="0" borderId="20" xfId="0" applyFont="1" applyBorder="1" applyAlignment="1">
      <alignment horizontal="center"/>
    </xf>
    <xf numFmtId="1" fontId="0" fillId="0" borderId="40" xfId="0" applyNumberFormat="1" applyFont="1" applyBorder="1" applyAlignment="1">
      <alignment horizontal="center"/>
    </xf>
    <xf numFmtId="165" fontId="0" fillId="0" borderId="30" xfId="0" applyNumberFormat="1" applyFont="1" applyFill="1" applyBorder="1" applyAlignment="1">
      <alignment horizontal="center"/>
    </xf>
    <xf numFmtId="164" fontId="0" fillId="0" borderId="76" xfId="0" applyNumberFormat="1" applyBorder="1" applyAlignment="1">
      <alignment horizontal="centerContinuous"/>
    </xf>
    <xf numFmtId="164" fontId="0" fillId="0" borderId="77" xfId="0" applyNumberFormat="1" applyBorder="1" applyAlignment="1">
      <alignment horizontal="centerContinuous"/>
    </xf>
    <xf numFmtId="165" fontId="0" fillId="3" borderId="74" xfId="0" applyNumberFormat="1" applyFont="1" applyFill="1" applyBorder="1" applyAlignment="1">
      <alignment horizontal="centerContinuous"/>
    </xf>
    <xf numFmtId="0" fontId="11" fillId="0" borderId="42" xfId="0" applyFont="1" applyBorder="1" applyAlignment="1">
      <alignment/>
    </xf>
    <xf numFmtId="0" fontId="11" fillId="0" borderId="14" xfId="0" applyFont="1" applyBorder="1" applyAlignment="1">
      <alignment/>
    </xf>
    <xf numFmtId="0" fontId="0" fillId="0" borderId="57" xfId="0" applyBorder="1" applyAlignment="1">
      <alignment horizontal="centerContinuous"/>
    </xf>
    <xf numFmtId="0" fontId="0" fillId="0" borderId="75" xfId="0" applyBorder="1" applyAlignment="1">
      <alignment horizontal="centerContinuous"/>
    </xf>
    <xf numFmtId="0" fontId="1" fillId="0" borderId="49" xfId="0" applyFont="1" applyBorder="1" applyAlignment="1">
      <alignment horizontal="center"/>
    </xf>
    <xf numFmtId="0" fontId="0" fillId="0" borderId="14" xfId="0" applyFont="1" applyFill="1" applyBorder="1" applyAlignment="1">
      <alignment/>
    </xf>
    <xf numFmtId="0" fontId="0" fillId="0" borderId="63" xfId="0" applyFont="1" applyBorder="1" applyAlignment="1">
      <alignment/>
    </xf>
    <xf numFmtId="165" fontId="0" fillId="0" borderId="30" xfId="0" applyNumberFormat="1" applyFont="1" applyBorder="1" applyAlignment="1">
      <alignment horizontal="center"/>
    </xf>
    <xf numFmtId="164" fontId="0" fillId="0" borderId="31" xfId="0" applyNumberFormat="1" applyFont="1" applyBorder="1" applyAlignment="1">
      <alignment horizontal="center"/>
    </xf>
    <xf numFmtId="164" fontId="0" fillId="0" borderId="24" xfId="0" applyNumberFormat="1" applyFont="1" applyBorder="1" applyAlignment="1">
      <alignment horizontal="center"/>
    </xf>
    <xf numFmtId="164" fontId="0" fillId="0" borderId="73" xfId="0" applyNumberFormat="1" applyBorder="1" applyAlignment="1">
      <alignment horizontal="center"/>
    </xf>
    <xf numFmtId="164" fontId="0" fillId="0" borderId="75" xfId="0" applyNumberFormat="1" applyBorder="1" applyAlignment="1">
      <alignment horizontal="center"/>
    </xf>
    <xf numFmtId="0" fontId="4" fillId="0" borderId="42" xfId="0" applyFont="1" applyBorder="1" applyAlignment="1">
      <alignment/>
    </xf>
    <xf numFmtId="0" fontId="4" fillId="0" borderId="42" xfId="0" applyNumberFormat="1"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7" xfId="0" applyFont="1" applyBorder="1" applyAlignment="1">
      <alignment horizontal="centerContinuous"/>
    </xf>
    <xf numFmtId="0" fontId="1" fillId="0" borderId="26" xfId="0" applyFont="1" applyBorder="1" applyAlignment="1">
      <alignment horizontal="center"/>
    </xf>
    <xf numFmtId="0" fontId="0" fillId="0" borderId="78" xfId="0" applyFont="1" applyBorder="1" applyAlignment="1">
      <alignment horizontal="center"/>
    </xf>
    <xf numFmtId="0" fontId="0" fillId="0" borderId="27"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0" fillId="0" borderId="39" xfId="0" applyFont="1" applyFill="1" applyBorder="1" applyAlignment="1">
      <alignment horizontal="left"/>
    </xf>
    <xf numFmtId="0" fontId="0" fillId="0" borderId="81" xfId="0" applyFont="1" applyFill="1" applyBorder="1" applyAlignment="1">
      <alignment horizontal="left"/>
    </xf>
    <xf numFmtId="0" fontId="0" fillId="0" borderId="44" xfId="0" applyFont="1" applyFill="1" applyBorder="1" applyAlignment="1">
      <alignment horizontal="left"/>
    </xf>
    <xf numFmtId="0" fontId="0" fillId="0" borderId="45" xfId="0" applyFont="1" applyBorder="1" applyAlignment="1">
      <alignment horizontal="center"/>
    </xf>
    <xf numFmtId="0" fontId="0" fillId="0" borderId="14" xfId="0" applyFont="1" applyBorder="1" applyAlignment="1">
      <alignment horizontal="centerContinuous"/>
    </xf>
    <xf numFmtId="0" fontId="0" fillId="0" borderId="16" xfId="0" applyFont="1" applyBorder="1" applyAlignment="1">
      <alignment horizontal="centerContinuous"/>
    </xf>
    <xf numFmtId="0" fontId="7" fillId="0" borderId="42" xfId="0" applyFont="1" applyBorder="1" applyAlignment="1">
      <alignment/>
    </xf>
    <xf numFmtId="0" fontId="7" fillId="0" borderId="42" xfId="0" applyNumberFormat="1" applyFont="1" applyBorder="1" applyAlignment="1">
      <alignment/>
    </xf>
    <xf numFmtId="0" fontId="7" fillId="0" borderId="14" xfId="0" applyFont="1" applyBorder="1" applyAlignment="1">
      <alignment/>
    </xf>
    <xf numFmtId="0" fontId="0" fillId="0" borderId="20" xfId="0" applyFont="1" applyFill="1" applyBorder="1" applyAlignment="1">
      <alignment horizontal="center"/>
    </xf>
    <xf numFmtId="1" fontId="0" fillId="0" borderId="32" xfId="0" applyNumberFormat="1" applyFont="1" applyBorder="1" applyAlignment="1">
      <alignment horizontal="center"/>
    </xf>
    <xf numFmtId="164" fontId="0" fillId="0" borderId="29" xfId="0" applyNumberFormat="1" applyFont="1" applyBorder="1" applyAlignment="1">
      <alignment horizontal="center"/>
    </xf>
    <xf numFmtId="165" fontId="0" fillId="0" borderId="29" xfId="0" applyNumberFormat="1" applyFont="1" applyBorder="1" applyAlignment="1">
      <alignment horizontal="center"/>
    </xf>
    <xf numFmtId="1" fontId="0" fillId="0" borderId="40" xfId="0" applyNumberFormat="1" applyBorder="1" applyAlignment="1">
      <alignment horizontal="center"/>
    </xf>
    <xf numFmtId="1" fontId="0" fillId="0" borderId="30" xfId="0" applyNumberFormat="1" applyBorder="1" applyAlignment="1">
      <alignment horizontal="center"/>
    </xf>
    <xf numFmtId="164" fontId="0" fillId="0" borderId="30" xfId="0" applyNumberFormat="1" applyBorder="1" applyAlignment="1">
      <alignment horizontal="center"/>
    </xf>
    <xf numFmtId="165" fontId="0" fillId="0" borderId="30" xfId="0" applyNumberFormat="1" applyBorder="1" applyAlignment="1">
      <alignment horizontal="center"/>
    </xf>
    <xf numFmtId="0" fontId="0" fillId="0" borderId="30" xfId="0" applyFont="1" applyBorder="1" applyAlignment="1">
      <alignment/>
    </xf>
    <xf numFmtId="0" fontId="1" fillId="0" borderId="30" xfId="0" applyFont="1" applyBorder="1" applyAlignment="1">
      <alignment horizontal="center"/>
    </xf>
    <xf numFmtId="0" fontId="0" fillId="0" borderId="30" xfId="0" applyFont="1" applyFill="1" applyBorder="1" applyAlignment="1">
      <alignment horizontal="center"/>
    </xf>
    <xf numFmtId="0" fontId="0" fillId="0" borderId="30" xfId="0" applyFont="1" applyFill="1" applyBorder="1" applyAlignment="1">
      <alignment horizontal="left"/>
    </xf>
    <xf numFmtId="0" fontId="0" fillId="0" borderId="29" xfId="0" applyFont="1" applyFill="1" applyBorder="1" applyAlignment="1">
      <alignment horizontal="center"/>
    </xf>
    <xf numFmtId="0" fontId="0" fillId="0" borderId="82" xfId="0" applyFont="1" applyBorder="1" applyAlignment="1">
      <alignment horizontal="centerContinuous"/>
    </xf>
    <xf numFmtId="0" fontId="0" fillId="0" borderId="83" xfId="0" applyFont="1" applyBorder="1" applyAlignment="1">
      <alignment horizontal="centerContinuous"/>
    </xf>
    <xf numFmtId="0" fontId="0" fillId="0" borderId="24" xfId="0" applyFont="1" applyBorder="1" applyAlignment="1">
      <alignment horizontal="centerContinuous"/>
    </xf>
    <xf numFmtId="0" fontId="0" fillId="0" borderId="31" xfId="0" applyFont="1" applyBorder="1" applyAlignment="1">
      <alignment horizontal="centerContinuous"/>
    </xf>
    <xf numFmtId="1" fontId="0" fillId="3" borderId="24" xfId="0" applyNumberFormat="1" applyFont="1" applyFill="1" applyBorder="1" applyAlignment="1">
      <alignment horizontal="centerContinuous"/>
    </xf>
    <xf numFmtId="1" fontId="0" fillId="3" borderId="31" xfId="0" applyNumberFormat="1" applyFont="1" applyFill="1" applyBorder="1" applyAlignment="1">
      <alignment horizontal="centerContinuous"/>
    </xf>
    <xf numFmtId="164" fontId="0" fillId="0" borderId="24" xfId="0" applyNumberFormat="1" applyBorder="1" applyAlignment="1">
      <alignment horizontal="center"/>
    </xf>
    <xf numFmtId="164" fontId="0" fillId="0" borderId="31" xfId="0" applyNumberFormat="1" applyBorder="1" applyAlignment="1">
      <alignment horizontal="center"/>
    </xf>
    <xf numFmtId="164" fontId="0" fillId="0" borderId="24" xfId="0" applyNumberFormat="1" applyBorder="1" applyAlignment="1">
      <alignment horizontal="centerContinuous"/>
    </xf>
    <xf numFmtId="164" fontId="0" fillId="0" borderId="31" xfId="0" applyNumberFormat="1" applyBorder="1" applyAlignment="1">
      <alignment horizontal="centerContinuous"/>
    </xf>
    <xf numFmtId="0" fontId="0" fillId="0" borderId="32" xfId="0" applyBorder="1" applyAlignment="1">
      <alignment horizontal="center"/>
    </xf>
    <xf numFmtId="9" fontId="0" fillId="3" borderId="84" xfId="0" applyNumberFormat="1" applyFont="1" applyFill="1" applyBorder="1" applyAlignment="1">
      <alignment horizontal="center"/>
    </xf>
    <xf numFmtId="0" fontId="0" fillId="0" borderId="85" xfId="0" applyFont="1" applyBorder="1" applyAlignment="1">
      <alignment horizontal="center"/>
    </xf>
    <xf numFmtId="0" fontId="0" fillId="0" borderId="41" xfId="0" applyFont="1" applyBorder="1" applyAlignment="1">
      <alignment horizontal="center"/>
    </xf>
    <xf numFmtId="0" fontId="1" fillId="0" borderId="1" xfId="0" applyFont="1" applyBorder="1" applyAlignment="1">
      <alignment horizontal="center"/>
    </xf>
    <xf numFmtId="0" fontId="0" fillId="0" borderId="84" xfId="0" applyFont="1" applyBorder="1" applyAlignment="1">
      <alignment/>
    </xf>
    <xf numFmtId="165" fontId="0" fillId="3" borderId="84" xfId="0" applyNumberFormat="1" applyFont="1" applyFill="1" applyBorder="1" applyAlignment="1">
      <alignment horizontal="center"/>
    </xf>
    <xf numFmtId="165" fontId="0" fillId="3" borderId="84" xfId="21" applyNumberFormat="1" applyFont="1" applyFill="1" applyBorder="1" applyAlignment="1">
      <alignment horizontal="center"/>
    </xf>
    <xf numFmtId="165" fontId="0" fillId="0" borderId="84" xfId="0" applyNumberFormat="1" applyFont="1" applyFill="1" applyBorder="1" applyAlignment="1">
      <alignment horizontal="center"/>
    </xf>
    <xf numFmtId="165" fontId="0" fillId="0" borderId="84" xfId="0" applyNumberFormat="1" applyFont="1" applyBorder="1" applyAlignment="1">
      <alignment horizontal="center"/>
    </xf>
    <xf numFmtId="165" fontId="0" fillId="0" borderId="84" xfId="0" applyNumberFormat="1" applyBorder="1" applyAlignment="1">
      <alignment horizontal="center"/>
    </xf>
    <xf numFmtId="0" fontId="11" fillId="0" borderId="33" xfId="0" applyFont="1" applyBorder="1" applyAlignment="1">
      <alignment/>
    </xf>
    <xf numFmtId="0" fontId="0" fillId="0" borderId="59" xfId="0" applyFont="1" applyBorder="1" applyAlignment="1">
      <alignment/>
    </xf>
    <xf numFmtId="0" fontId="8" fillId="0" borderId="59" xfId="0" applyFont="1" applyBorder="1" applyAlignment="1">
      <alignment/>
    </xf>
    <xf numFmtId="0" fontId="0" fillId="0" borderId="47" xfId="0" applyBorder="1" applyAlignment="1">
      <alignment/>
    </xf>
    <xf numFmtId="0" fontId="11" fillId="0" borderId="23" xfId="0" applyFont="1" applyBorder="1" applyAlignment="1">
      <alignment/>
    </xf>
    <xf numFmtId="0" fontId="0" fillId="0" borderId="48" xfId="0" applyBorder="1" applyAlignment="1">
      <alignment/>
    </xf>
    <xf numFmtId="0" fontId="4" fillId="0" borderId="23" xfId="0" applyFont="1" applyBorder="1" applyAlignment="1">
      <alignment/>
    </xf>
    <xf numFmtId="0" fontId="4" fillId="0" borderId="23" xfId="0" applyNumberFormat="1" applyFont="1" applyBorder="1" applyAlignment="1">
      <alignment/>
    </xf>
    <xf numFmtId="0" fontId="4" fillId="0" borderId="32" xfId="0" applyFont="1" applyBorder="1" applyAlignment="1">
      <alignment/>
    </xf>
    <xf numFmtId="0" fontId="0" fillId="0" borderId="39" xfId="0" applyBorder="1" applyAlignment="1">
      <alignment/>
    </xf>
    <xf numFmtId="0" fontId="0" fillId="0" borderId="81" xfId="0" applyBorder="1" applyAlignment="1">
      <alignment/>
    </xf>
    <xf numFmtId="0" fontId="0" fillId="0" borderId="86" xfId="0" applyFont="1" applyBorder="1" applyAlignment="1">
      <alignment horizontal="center"/>
    </xf>
    <xf numFmtId="0" fontId="1" fillId="0" borderId="2" xfId="0" applyFont="1" applyBorder="1" applyAlignment="1">
      <alignment horizontal="center"/>
    </xf>
    <xf numFmtId="0" fontId="1" fillId="0" borderId="19" xfId="0" applyFont="1" applyBorder="1" applyAlignment="1">
      <alignment horizontal="left"/>
    </xf>
    <xf numFmtId="0" fontId="0" fillId="0" borderId="29" xfId="0" applyBorder="1" applyAlignment="1">
      <alignment horizontal="center"/>
    </xf>
    <xf numFmtId="0" fontId="0" fillId="0" borderId="81" xfId="0" applyFont="1" applyBorder="1" applyAlignment="1">
      <alignment horizontal="center"/>
    </xf>
    <xf numFmtId="1" fontId="0" fillId="0" borderId="41" xfId="0" applyNumberFormat="1" applyFont="1" applyBorder="1" applyAlignment="1">
      <alignment horizontal="center"/>
    </xf>
    <xf numFmtId="0" fontId="0" fillId="0" borderId="82" xfId="0" applyFont="1" applyBorder="1" applyAlignment="1">
      <alignment/>
    </xf>
    <xf numFmtId="0" fontId="0" fillId="0" borderId="78" xfId="0" applyFont="1" applyBorder="1" applyAlignment="1">
      <alignment/>
    </xf>
    <xf numFmtId="0" fontId="0" fillId="0" borderId="33" xfId="0" applyFont="1" applyBorder="1" applyAlignment="1">
      <alignment/>
    </xf>
    <xf numFmtId="0" fontId="0" fillId="0" borderId="32" xfId="0" applyFont="1" applyBorder="1" applyAlignment="1">
      <alignment/>
    </xf>
    <xf numFmtId="0" fontId="0" fillId="0" borderId="29" xfId="0" applyFont="1" applyBorder="1" applyAlignment="1">
      <alignment/>
    </xf>
    <xf numFmtId="0" fontId="0" fillId="0" borderId="32" xfId="0" applyFont="1" applyFill="1" applyBorder="1" applyAlignment="1">
      <alignment/>
    </xf>
    <xf numFmtId="0" fontId="0" fillId="0" borderId="83" xfId="0" applyFont="1" applyBorder="1" applyAlignment="1">
      <alignment/>
    </xf>
    <xf numFmtId="0" fontId="0" fillId="0" borderId="60" xfId="0" applyFont="1" applyBorder="1" applyAlignment="1">
      <alignment horizontal="center"/>
    </xf>
    <xf numFmtId="164" fontId="0" fillId="0" borderId="68" xfId="0" applyNumberFormat="1" applyFont="1" applyBorder="1" applyAlignment="1">
      <alignment horizontal="center"/>
    </xf>
    <xf numFmtId="1" fontId="0" fillId="3" borderId="87" xfId="0" applyNumberFormat="1" applyFont="1" applyFill="1" applyBorder="1" applyAlignment="1">
      <alignment horizontal="center"/>
    </xf>
    <xf numFmtId="0" fontId="0" fillId="0" borderId="29" xfId="0" applyFont="1" applyFill="1" applyBorder="1" applyAlignment="1">
      <alignment horizontal="left"/>
    </xf>
    <xf numFmtId="0" fontId="0" fillId="0" borderId="37" xfId="0" applyBorder="1" applyAlignment="1">
      <alignment horizontal="center"/>
    </xf>
    <xf numFmtId="165" fontId="0" fillId="0" borderId="30" xfId="21" applyNumberFormat="1" applyBorder="1" applyAlignment="1">
      <alignment horizontal="center"/>
    </xf>
    <xf numFmtId="0" fontId="0" fillId="0" borderId="64" xfId="0" applyFont="1" applyBorder="1" applyAlignment="1">
      <alignment/>
    </xf>
    <xf numFmtId="164" fontId="0" fillId="0" borderId="32" xfId="0" applyNumberFormat="1" applyFont="1" applyBorder="1" applyAlignment="1">
      <alignment horizontal="center"/>
    </xf>
    <xf numFmtId="164" fontId="0" fillId="3" borderId="56" xfId="0" applyNumberFormat="1" applyFont="1" applyFill="1" applyBorder="1" applyAlignment="1">
      <alignment horizontal="center"/>
    </xf>
    <xf numFmtId="0" fontId="0" fillId="0" borderId="31" xfId="0" applyFont="1" applyFill="1" applyBorder="1" applyAlignment="1">
      <alignment horizontal="center"/>
    </xf>
    <xf numFmtId="0" fontId="0" fillId="0" borderId="68" xfId="0" applyBorder="1" applyAlignment="1">
      <alignment horizontal="center"/>
    </xf>
    <xf numFmtId="0" fontId="0" fillId="0" borderId="31" xfId="0" applyBorder="1" applyAlignment="1">
      <alignment horizontal="center"/>
    </xf>
    <xf numFmtId="1" fontId="0" fillId="3" borderId="60" xfId="0" applyNumberFormat="1" applyFont="1" applyFill="1" applyBorder="1" applyAlignment="1">
      <alignment horizontal="center"/>
    </xf>
    <xf numFmtId="165" fontId="0" fillId="3" borderId="24" xfId="21" applyNumberFormat="1" applyFont="1" applyFill="1" applyBorder="1" applyAlignment="1">
      <alignment horizontal="center"/>
    </xf>
    <xf numFmtId="165" fontId="0" fillId="3" borderId="31" xfId="21" applyNumberFormat="1" applyFont="1" applyFill="1" applyBorder="1" applyAlignment="1">
      <alignment horizontal="center"/>
    </xf>
    <xf numFmtId="165" fontId="4" fillId="0" borderId="24" xfId="0" applyNumberFormat="1" applyFont="1" applyFill="1" applyBorder="1" applyAlignment="1">
      <alignment horizontal="center"/>
    </xf>
    <xf numFmtId="0" fontId="0" fillId="0" borderId="41" xfId="0" applyBorder="1" applyAlignment="1">
      <alignment horizontal="center"/>
    </xf>
    <xf numFmtId="0" fontId="0" fillId="0" borderId="39" xfId="0" applyBorder="1" applyAlignment="1">
      <alignment/>
    </xf>
    <xf numFmtId="0" fontId="0" fillId="0" borderId="81" xfId="0" applyBorder="1" applyAlignment="1">
      <alignment/>
    </xf>
    <xf numFmtId="164" fontId="0" fillId="0" borderId="41" xfId="0" applyNumberFormat="1" applyBorder="1" applyAlignment="1">
      <alignment horizontal="center"/>
    </xf>
    <xf numFmtId="164" fontId="0" fillId="0" borderId="41" xfId="0" applyNumberFormat="1" applyBorder="1" applyAlignment="1">
      <alignment horizontal="centerContinuous"/>
    </xf>
    <xf numFmtId="0" fontId="0" fillId="0" borderId="23" xfId="0" applyFont="1" applyFill="1" applyBorder="1" applyAlignment="1">
      <alignment/>
    </xf>
    <xf numFmtId="1" fontId="0" fillId="3" borderId="88" xfId="0" applyNumberFormat="1" applyFont="1" applyFill="1" applyBorder="1" applyAlignment="1">
      <alignment horizontal="center"/>
    </xf>
    <xf numFmtId="1" fontId="0" fillId="3" borderId="22" xfId="0" applyNumberFormat="1" applyFont="1" applyFill="1" applyBorder="1" applyAlignment="1">
      <alignment horizontal="center"/>
    </xf>
    <xf numFmtId="164" fontId="0" fillId="3" borderId="66" xfId="0" applyNumberFormat="1" applyFont="1" applyFill="1" applyBorder="1" applyAlignment="1">
      <alignment horizontal="center"/>
    </xf>
    <xf numFmtId="1" fontId="0" fillId="3" borderId="48" xfId="0" applyNumberFormat="1" applyFont="1" applyFill="1" applyBorder="1" applyAlignment="1">
      <alignment horizontal="center"/>
    </xf>
    <xf numFmtId="0" fontId="0" fillId="0" borderId="23" xfId="0" applyBorder="1" applyAlignment="1">
      <alignment horizontal="center"/>
    </xf>
    <xf numFmtId="165" fontId="0" fillId="3" borderId="78" xfId="21" applyNumberFormat="1" applyFont="1" applyFill="1" applyBorder="1" applyAlignment="1">
      <alignment horizontal="center"/>
    </xf>
    <xf numFmtId="0" fontId="0" fillId="0" borderId="24" xfId="0" applyFont="1" applyFill="1" applyBorder="1" applyAlignment="1">
      <alignment horizontal="left"/>
    </xf>
    <xf numFmtId="164" fontId="0" fillId="0" borderId="37" xfId="0" applyNumberFormat="1" applyFont="1" applyBorder="1" applyAlignment="1">
      <alignment horizontal="center"/>
    </xf>
    <xf numFmtId="0" fontId="11" fillId="0" borderId="23" xfId="0" applyNumberFormat="1" applyFont="1" applyBorder="1" applyAlignment="1">
      <alignment/>
    </xf>
    <xf numFmtId="0" fontId="11" fillId="0" borderId="32" xfId="0" applyFont="1" applyBorder="1" applyAlignment="1">
      <alignment/>
    </xf>
    <xf numFmtId="0" fontId="14" fillId="0" borderId="82" xfId="0" applyFont="1" applyBorder="1" applyAlignment="1">
      <alignment horizontal="center"/>
    </xf>
    <xf numFmtId="0" fontId="0" fillId="0" borderId="78" xfId="0" applyFont="1" applyFill="1" applyBorder="1" applyAlignment="1">
      <alignment horizontal="center"/>
    </xf>
    <xf numFmtId="0" fontId="0" fillId="0" borderId="54" xfId="0" applyFont="1" applyBorder="1" applyAlignment="1">
      <alignment/>
    </xf>
    <xf numFmtId="0" fontId="0" fillId="0" borderId="74" xfId="0" applyFont="1" applyBorder="1" applyAlignment="1">
      <alignment/>
    </xf>
    <xf numFmtId="165" fontId="0" fillId="0" borderId="70" xfId="0" applyNumberFormat="1" applyBorder="1" applyAlignment="1">
      <alignment horizontal="center"/>
    </xf>
    <xf numFmtId="0" fontId="0" fillId="0" borderId="83" xfId="0" applyBorder="1" applyAlignment="1">
      <alignment horizontal="center"/>
    </xf>
    <xf numFmtId="1" fontId="0" fillId="0" borderId="31" xfId="0" applyNumberFormat="1" applyBorder="1" applyAlignment="1">
      <alignment horizontal="center"/>
    </xf>
    <xf numFmtId="9" fontId="0" fillId="0" borderId="65" xfId="21" applyBorder="1" applyAlignment="1">
      <alignment horizontal="center"/>
    </xf>
    <xf numFmtId="165" fontId="0" fillId="0" borderId="31" xfId="21" applyNumberFormat="1" applyBorder="1" applyAlignment="1">
      <alignment horizontal="center"/>
    </xf>
    <xf numFmtId="0" fontId="0" fillId="0" borderId="24" xfId="0" applyFont="1" applyFill="1" applyBorder="1" applyAlignment="1">
      <alignment/>
    </xf>
    <xf numFmtId="0" fontId="0" fillId="0" borderId="69" xfId="0" applyFont="1" applyBorder="1" applyAlignment="1">
      <alignment/>
    </xf>
    <xf numFmtId="9" fontId="0" fillId="0" borderId="70" xfId="21" applyBorder="1" applyAlignment="1">
      <alignment horizontal="center"/>
    </xf>
    <xf numFmtId="0" fontId="0" fillId="0" borderId="22" xfId="0" applyBorder="1" applyAlignment="1">
      <alignment horizontal="center"/>
    </xf>
    <xf numFmtId="0" fontId="0" fillId="0" borderId="66" xfId="0" applyBorder="1" applyAlignment="1">
      <alignment horizontal="center"/>
    </xf>
    <xf numFmtId="0" fontId="0" fillId="0" borderId="52" xfId="0" applyFont="1" applyBorder="1" applyAlignment="1">
      <alignment/>
    </xf>
    <xf numFmtId="0" fontId="0" fillId="0" borderId="54" xfId="0" applyFont="1" applyFill="1" applyBorder="1" applyAlignment="1">
      <alignment/>
    </xf>
    <xf numFmtId="0" fontId="0" fillId="0" borderId="33" xfId="0" applyFont="1" applyBorder="1" applyAlignment="1">
      <alignment/>
    </xf>
    <xf numFmtId="0" fontId="0" fillId="0" borderId="59" xfId="0" applyFont="1" applyBorder="1" applyAlignment="1">
      <alignment/>
    </xf>
    <xf numFmtId="165" fontId="0" fillId="0" borderId="47" xfId="0" applyNumberFormat="1" applyBorder="1" applyAlignment="1">
      <alignment horizontal="center"/>
    </xf>
    <xf numFmtId="0" fontId="0" fillId="0" borderId="69" xfId="0" applyBorder="1" applyAlignment="1">
      <alignment/>
    </xf>
    <xf numFmtId="0" fontId="0" fillId="0" borderId="74" xfId="0" applyBorder="1" applyAlignment="1">
      <alignment/>
    </xf>
    <xf numFmtId="0" fontId="0" fillId="0" borderId="70" xfId="0" applyBorder="1" applyAlignment="1">
      <alignment/>
    </xf>
    <xf numFmtId="0" fontId="0" fillId="0" borderId="26" xfId="0" applyBorder="1" applyAlignment="1">
      <alignment/>
    </xf>
    <xf numFmtId="0" fontId="0" fillId="0" borderId="27" xfId="0" applyBorder="1" applyAlignment="1">
      <alignment/>
    </xf>
    <xf numFmtId="0" fontId="11" fillId="0" borderId="42" xfId="0" applyNumberFormat="1" applyFont="1" applyBorder="1" applyAlignment="1">
      <alignment/>
    </xf>
    <xf numFmtId="0" fontId="0" fillId="0" borderId="42" xfId="0" applyFont="1" applyFill="1" applyBorder="1" applyAlignment="1">
      <alignment/>
    </xf>
    <xf numFmtId="0" fontId="0" fillId="0" borderId="35" xfId="0" applyBorder="1" applyAlignment="1">
      <alignment horizontal="center"/>
    </xf>
    <xf numFmtId="165" fontId="0" fillId="3" borderId="64" xfId="21" applyNumberFormat="1" applyFont="1" applyFill="1" applyBorder="1" applyAlignment="1">
      <alignment horizontal="center"/>
    </xf>
    <xf numFmtId="0" fontId="0" fillId="0" borderId="14" xfId="0" applyBorder="1" applyAlignment="1">
      <alignment/>
    </xf>
    <xf numFmtId="0" fontId="0" fillId="0" borderId="16" xfId="0" applyBorder="1" applyAlignment="1">
      <alignment/>
    </xf>
    <xf numFmtId="2" fontId="0" fillId="0" borderId="31" xfId="0" applyNumberFormat="1" applyFont="1" applyBorder="1" applyAlignment="1">
      <alignment horizontal="center"/>
    </xf>
    <xf numFmtId="165" fontId="0" fillId="3" borderId="83" xfId="21" applyNumberFormat="1" applyFont="1" applyFill="1" applyBorder="1" applyAlignment="1">
      <alignment horizontal="center"/>
    </xf>
    <xf numFmtId="165" fontId="0" fillId="3" borderId="21" xfId="0" applyNumberFormat="1" applyFont="1" applyFill="1" applyBorder="1" applyAlignment="1">
      <alignment horizontal="center"/>
    </xf>
    <xf numFmtId="0" fontId="0" fillId="0" borderId="32" xfId="0" applyFont="1" applyFill="1" applyBorder="1" applyAlignment="1">
      <alignment horizontal="left"/>
    </xf>
    <xf numFmtId="0" fontId="0" fillId="0" borderId="39" xfId="0" applyFont="1" applyFill="1" applyBorder="1" applyAlignment="1">
      <alignment horizontal="left"/>
    </xf>
    <xf numFmtId="0" fontId="0" fillId="0" borderId="29" xfId="0" applyFont="1" applyFill="1" applyBorder="1" applyAlignment="1">
      <alignment horizontal="left"/>
    </xf>
    <xf numFmtId="0" fontId="0" fillId="0" borderId="54" xfId="0" applyBorder="1" applyAlignment="1">
      <alignment horizontal="center"/>
    </xf>
    <xf numFmtId="0" fontId="0" fillId="0" borderId="21" xfId="0" applyBorder="1" applyAlignment="1">
      <alignment horizontal="center"/>
    </xf>
    <xf numFmtId="165" fontId="0" fillId="3" borderId="69" xfId="0" applyNumberFormat="1" applyFont="1" applyFill="1" applyBorder="1" applyAlignment="1">
      <alignment horizontal="center"/>
    </xf>
    <xf numFmtId="165" fontId="0" fillId="3" borderId="74" xfId="0" applyNumberFormat="1" applyFont="1" applyFill="1" applyBorder="1" applyAlignment="1">
      <alignment horizontal="center"/>
    </xf>
    <xf numFmtId="0" fontId="6" fillId="0" borderId="15" xfId="0" applyFont="1" applyBorder="1" applyAlignment="1">
      <alignment horizontal="center"/>
    </xf>
    <xf numFmtId="0" fontId="0" fillId="0" borderId="57" xfId="0" applyBorder="1" applyAlignment="1">
      <alignment horizontal="center"/>
    </xf>
    <xf numFmtId="0" fontId="0" fillId="0" borderId="75" xfId="0" applyBorder="1" applyAlignment="1">
      <alignment horizontal="center"/>
    </xf>
    <xf numFmtId="0" fontId="0" fillId="0" borderId="26" xfId="0" applyFont="1" applyBorder="1" applyAlignment="1">
      <alignment horizontal="center"/>
    </xf>
    <xf numFmtId="0" fontId="0" fillId="0" borderId="28" xfId="0" applyFont="1" applyBorder="1" applyAlignment="1">
      <alignment horizontal="center"/>
    </xf>
    <xf numFmtId="165" fontId="0" fillId="3" borderId="29" xfId="0" applyNumberFormat="1" applyFont="1" applyFill="1" applyBorder="1" applyAlignment="1">
      <alignment horizontal="center"/>
    </xf>
    <xf numFmtId="165" fontId="0" fillId="3" borderId="3" xfId="0" applyNumberFormat="1" applyFont="1" applyFill="1" applyBorder="1" applyAlignment="1">
      <alignment horizontal="center"/>
    </xf>
    <xf numFmtId="165" fontId="0" fillId="3" borderId="25" xfId="0" applyNumberFormat="1" applyFont="1" applyFill="1" applyBorder="1" applyAlignment="1">
      <alignment horizontal="center"/>
    </xf>
    <xf numFmtId="165" fontId="0" fillId="3" borderId="54" xfId="0" applyNumberFormat="1" applyFont="1" applyFill="1" applyBorder="1" applyAlignment="1">
      <alignment horizontal="center"/>
    </xf>
    <xf numFmtId="165" fontId="0" fillId="3" borderId="70" xfId="0" applyNumberFormat="1" applyFont="1" applyFill="1" applyBorder="1" applyAlignment="1">
      <alignment horizontal="center"/>
    </xf>
    <xf numFmtId="0" fontId="0" fillId="0" borderId="32" xfId="0" applyBorder="1" applyAlignment="1">
      <alignment horizontal="center"/>
    </xf>
    <xf numFmtId="0" fontId="0" fillId="0" borderId="39" xfId="0" applyBorder="1" applyAlignment="1">
      <alignment horizontal="center"/>
    </xf>
    <xf numFmtId="0" fontId="0" fillId="0" borderId="81" xfId="0" applyBorder="1" applyAlignment="1">
      <alignment horizontal="center"/>
    </xf>
    <xf numFmtId="0" fontId="6" fillId="0" borderId="33" xfId="0" applyFont="1" applyBorder="1" applyAlignment="1">
      <alignment horizontal="center"/>
    </xf>
    <xf numFmtId="0" fontId="6" fillId="0" borderId="59" xfId="0" applyFont="1" applyBorder="1" applyAlignment="1">
      <alignment horizontal="center"/>
    </xf>
    <xf numFmtId="0" fontId="6" fillId="0" borderId="47" xfId="0" applyFont="1" applyBorder="1" applyAlignment="1">
      <alignment horizontal="center"/>
    </xf>
    <xf numFmtId="0" fontId="0" fillId="0" borderId="29" xfId="0" applyFont="1" applyBorder="1" applyAlignment="1">
      <alignment horizontal="left"/>
    </xf>
    <xf numFmtId="0" fontId="0" fillId="0" borderId="3" xfId="0" applyFont="1" applyBorder="1" applyAlignment="1">
      <alignment horizontal="left"/>
    </xf>
    <xf numFmtId="0" fontId="0" fillId="0" borderId="41" xfId="0" applyFont="1" applyBorder="1" applyAlignment="1">
      <alignment horizontal="left"/>
    </xf>
    <xf numFmtId="0" fontId="0" fillId="0" borderId="82" xfId="0" applyFont="1" applyBorder="1" applyAlignment="1">
      <alignment horizontal="center"/>
    </xf>
    <xf numFmtId="0" fontId="0" fillId="0" borderId="78" xfId="0" applyFont="1" applyBorder="1" applyAlignment="1">
      <alignment horizontal="center"/>
    </xf>
    <xf numFmtId="0" fontId="0" fillId="0" borderId="83" xfId="0" applyFont="1" applyBorder="1" applyAlignment="1">
      <alignment horizontal="center"/>
    </xf>
    <xf numFmtId="0" fontId="0" fillId="0" borderId="3" xfId="0" applyFont="1" applyFill="1" applyBorder="1" applyAlignment="1">
      <alignment horizontal="left"/>
    </xf>
    <xf numFmtId="0" fontId="1" fillId="0" borderId="23" xfId="0" applyFont="1" applyBorder="1" applyAlignment="1">
      <alignment horizontal="center"/>
    </xf>
    <xf numFmtId="0" fontId="0" fillId="0" borderId="89" xfId="0" applyBorder="1" applyAlignment="1">
      <alignment horizontal="left"/>
    </xf>
    <xf numFmtId="0" fontId="0" fillId="0" borderId="84" xfId="0" applyBorder="1" applyAlignment="1">
      <alignment horizontal="left"/>
    </xf>
    <xf numFmtId="165" fontId="0" fillId="0" borderId="84" xfId="0" applyNumberFormat="1" applyBorder="1" applyAlignment="1">
      <alignment horizontal="center"/>
    </xf>
    <xf numFmtId="0" fontId="0" fillId="0" borderId="84"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165" fontId="0" fillId="3" borderId="41" xfId="0" applyNumberFormat="1" applyFont="1" applyFill="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90" xfId="0" applyFont="1" applyBorder="1" applyAlignment="1">
      <alignment horizontal="center"/>
    </xf>
    <xf numFmtId="0" fontId="0" fillId="0" borderId="52" xfId="0" applyFont="1" applyFill="1" applyBorder="1" applyAlignment="1">
      <alignment horizontal="left"/>
    </xf>
    <xf numFmtId="0" fontId="0" fillId="0" borderId="41" xfId="0" applyFont="1" applyFill="1" applyBorder="1" applyAlignment="1">
      <alignment horizontal="left"/>
    </xf>
    <xf numFmtId="0" fontId="6" fillId="0" borderId="56"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85" xfId="0" applyFont="1" applyFill="1" applyBorder="1" applyAlignment="1">
      <alignment horizontal="left"/>
    </xf>
    <xf numFmtId="0" fontId="0" fillId="0" borderId="74" xfId="0" applyBorder="1" applyAlignment="1">
      <alignment horizontal="center"/>
    </xf>
    <xf numFmtId="0" fontId="0" fillId="0" borderId="63" xfId="0" applyBorder="1" applyAlignment="1">
      <alignment horizontal="left"/>
    </xf>
    <xf numFmtId="0" fontId="0" fillId="0" borderId="91" xfId="0" applyBorder="1" applyAlignment="1">
      <alignment horizontal="left"/>
    </xf>
    <xf numFmtId="165" fontId="0" fillId="0" borderId="91" xfId="0" applyNumberFormat="1" applyBorder="1" applyAlignment="1">
      <alignment horizontal="center"/>
    </xf>
    <xf numFmtId="0" fontId="0" fillId="0" borderId="91" xfId="0" applyBorder="1" applyAlignment="1">
      <alignment horizontal="center"/>
    </xf>
    <xf numFmtId="0" fontId="0" fillId="0" borderId="65" xfId="0" applyBorder="1" applyAlignment="1">
      <alignment horizontal="center"/>
    </xf>
    <xf numFmtId="0" fontId="15" fillId="0" borderId="92" xfId="0" applyFont="1" applyBorder="1" applyAlignment="1">
      <alignment horizontal="center"/>
    </xf>
    <xf numFmtId="0" fontId="15" fillId="0" borderId="66" xfId="0" applyFont="1" applyBorder="1" applyAlignment="1">
      <alignment horizontal="center"/>
    </xf>
    <xf numFmtId="0" fontId="15" fillId="0" borderId="68" xfId="0" applyFont="1" applyBorder="1" applyAlignment="1">
      <alignment horizontal="center"/>
    </xf>
    <xf numFmtId="0" fontId="0" fillId="0" borderId="41" xfId="0" applyFont="1" applyBorder="1" applyAlignment="1">
      <alignment horizontal="center"/>
    </xf>
    <xf numFmtId="0" fontId="0" fillId="0" borderId="30" xfId="0" applyFont="1" applyBorder="1" applyAlignment="1">
      <alignment horizontal="center"/>
    </xf>
    <xf numFmtId="0" fontId="0" fillId="0" borderId="2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0"/>
  <sheetViews>
    <sheetView workbookViewId="0" topLeftCell="A1">
      <selection activeCell="D51" sqref="D51"/>
    </sheetView>
  </sheetViews>
  <sheetFormatPr defaultColWidth="9.140625" defaultRowHeight="12.75"/>
  <sheetData>
    <row r="1" ht="30">
      <c r="C1" s="23" t="s">
        <v>0</v>
      </c>
    </row>
    <row r="2" ht="13.5" thickBot="1"/>
    <row r="3" spans="1:8" ht="12.75">
      <c r="A3" s="1">
        <v>1996</v>
      </c>
      <c r="B3" s="2" t="s">
        <v>1</v>
      </c>
      <c r="C3" s="3" t="s">
        <v>2</v>
      </c>
      <c r="D3" s="3" t="s">
        <v>2</v>
      </c>
      <c r="E3" s="3" t="s">
        <v>2</v>
      </c>
      <c r="F3" s="3" t="s">
        <v>2</v>
      </c>
      <c r="G3" s="3" t="s">
        <v>2</v>
      </c>
      <c r="H3" s="2" t="s">
        <v>3</v>
      </c>
    </row>
    <row r="4" spans="1:8" ht="12.75">
      <c r="A4" s="3"/>
      <c r="B4" s="4" t="s">
        <v>4</v>
      </c>
      <c r="C4" s="3" t="s">
        <v>5</v>
      </c>
      <c r="D4" s="3" t="s">
        <v>6</v>
      </c>
      <c r="E4" s="3" t="s">
        <v>7</v>
      </c>
      <c r="F4" s="3" t="s">
        <v>8</v>
      </c>
      <c r="G4" s="3" t="s">
        <v>9</v>
      </c>
      <c r="H4" s="4" t="s">
        <v>10</v>
      </c>
    </row>
    <row r="5" spans="1:8" ht="12.75">
      <c r="A5" s="5" t="s">
        <v>11</v>
      </c>
      <c r="B5" s="6">
        <v>25</v>
      </c>
      <c r="C5" s="7">
        <v>14</v>
      </c>
      <c r="D5" s="7">
        <v>39</v>
      </c>
      <c r="E5" s="7">
        <v>94</v>
      </c>
      <c r="F5" s="7">
        <v>50</v>
      </c>
      <c r="G5" s="7"/>
      <c r="H5" s="6">
        <v>197</v>
      </c>
    </row>
    <row r="6" spans="1:8" ht="12.75">
      <c r="A6" s="5" t="s">
        <v>12</v>
      </c>
      <c r="B6" s="6">
        <v>29</v>
      </c>
      <c r="C6" s="7">
        <v>61</v>
      </c>
      <c r="D6" s="7">
        <v>56</v>
      </c>
      <c r="E6" s="7">
        <v>83</v>
      </c>
      <c r="F6" s="7">
        <v>47</v>
      </c>
      <c r="G6" s="7"/>
      <c r="H6" s="6">
        <v>247</v>
      </c>
    </row>
    <row r="7" spans="1:8" ht="12.75">
      <c r="A7" s="5" t="s">
        <v>13</v>
      </c>
      <c r="B7" s="6">
        <v>24</v>
      </c>
      <c r="C7" s="7">
        <v>17</v>
      </c>
      <c r="D7" s="7">
        <v>42</v>
      </c>
      <c r="E7" s="7">
        <v>54</v>
      </c>
      <c r="F7" s="7">
        <v>87</v>
      </c>
      <c r="G7" s="7"/>
      <c r="H7" s="6">
        <v>200</v>
      </c>
    </row>
    <row r="8" spans="1:8" ht="12.75">
      <c r="A8" s="5" t="s">
        <v>14</v>
      </c>
      <c r="B8" s="6">
        <v>35</v>
      </c>
      <c r="C8" s="7">
        <v>52</v>
      </c>
      <c r="D8" s="7">
        <v>79</v>
      </c>
      <c r="E8" s="7">
        <v>34</v>
      </c>
      <c r="F8" s="7">
        <v>53</v>
      </c>
      <c r="G8" s="7"/>
      <c r="H8" s="6">
        <v>218</v>
      </c>
    </row>
    <row r="9" spans="1:8" ht="12.75">
      <c r="A9" s="5" t="s">
        <v>15</v>
      </c>
      <c r="B9" s="6">
        <v>28</v>
      </c>
      <c r="C9" s="7">
        <v>56</v>
      </c>
      <c r="D9" s="7">
        <v>56</v>
      </c>
      <c r="E9" s="7">
        <v>40</v>
      </c>
      <c r="F9" s="7">
        <v>67</v>
      </c>
      <c r="G9" s="7"/>
      <c r="H9" s="6">
        <v>219</v>
      </c>
    </row>
    <row r="10" spans="1:8" ht="12.75">
      <c r="A10" s="5" t="s">
        <v>16</v>
      </c>
      <c r="B10" s="6">
        <v>22</v>
      </c>
      <c r="C10" s="7">
        <v>22</v>
      </c>
      <c r="D10" s="7">
        <v>60</v>
      </c>
      <c r="E10" s="7">
        <v>41</v>
      </c>
      <c r="F10" s="7">
        <v>41</v>
      </c>
      <c r="G10" s="7"/>
      <c r="H10" s="6">
        <v>164</v>
      </c>
    </row>
    <row r="11" spans="1:8" ht="12.75">
      <c r="A11" s="5" t="s">
        <v>17</v>
      </c>
      <c r="B11" s="6">
        <v>39</v>
      </c>
      <c r="C11" s="7">
        <v>83</v>
      </c>
      <c r="D11" s="7">
        <v>34</v>
      </c>
      <c r="E11" s="7">
        <v>59</v>
      </c>
      <c r="F11" s="7">
        <v>70</v>
      </c>
      <c r="G11" s="7">
        <v>80</v>
      </c>
      <c r="H11" s="6">
        <v>326</v>
      </c>
    </row>
    <row r="12" spans="1:8" ht="12.75">
      <c r="A12" s="5" t="s">
        <v>18</v>
      </c>
      <c r="B12" s="6">
        <v>30</v>
      </c>
      <c r="C12" s="7">
        <v>93</v>
      </c>
      <c r="D12" s="7">
        <v>82</v>
      </c>
      <c r="E12" s="7">
        <v>80</v>
      </c>
      <c r="F12" s="7">
        <v>80</v>
      </c>
      <c r="G12" s="7"/>
      <c r="H12" s="6">
        <v>335</v>
      </c>
    </row>
    <row r="13" spans="1:8" ht="12.75">
      <c r="A13" s="5" t="s">
        <v>19</v>
      </c>
      <c r="B13" s="6">
        <v>20</v>
      </c>
      <c r="C13" s="7">
        <v>84</v>
      </c>
      <c r="D13" s="7">
        <v>44</v>
      </c>
      <c r="E13" s="7">
        <v>79</v>
      </c>
      <c r="F13" s="7">
        <v>87</v>
      </c>
      <c r="G13" s="7"/>
      <c r="H13" s="6">
        <v>294</v>
      </c>
    </row>
    <row r="14" spans="1:8" ht="12.75">
      <c r="A14" s="5" t="s">
        <v>20</v>
      </c>
      <c r="B14" s="6">
        <v>47</v>
      </c>
      <c r="C14" s="7">
        <v>36</v>
      </c>
      <c r="D14" s="7">
        <v>49</v>
      </c>
      <c r="E14" s="7">
        <v>38</v>
      </c>
      <c r="F14" s="7">
        <v>67</v>
      </c>
      <c r="G14" s="7">
        <v>85</v>
      </c>
      <c r="H14" s="6">
        <v>275</v>
      </c>
    </row>
    <row r="15" spans="1:8" ht="12.75">
      <c r="A15" s="5" t="s">
        <v>21</v>
      </c>
      <c r="B15" s="6">
        <v>30</v>
      </c>
      <c r="C15" s="7">
        <v>34</v>
      </c>
      <c r="D15" s="7">
        <v>113</v>
      </c>
      <c r="E15" s="7">
        <v>45</v>
      </c>
      <c r="F15" s="7">
        <v>66</v>
      </c>
      <c r="G15" s="7"/>
      <c r="H15" s="6">
        <v>258</v>
      </c>
    </row>
    <row r="16" spans="1:8" ht="13.5" thickBot="1">
      <c r="A16" s="8" t="s">
        <v>22</v>
      </c>
      <c r="B16" s="9">
        <v>26</v>
      </c>
      <c r="C16" s="10">
        <v>46</v>
      </c>
      <c r="D16" s="10">
        <v>60</v>
      </c>
      <c r="E16" s="10">
        <v>39</v>
      </c>
      <c r="F16" s="10">
        <v>52</v>
      </c>
      <c r="G16" s="10"/>
      <c r="H16" s="9">
        <v>197</v>
      </c>
    </row>
    <row r="17" spans="1:8" ht="14.25" thickBot="1" thickTop="1">
      <c r="A17" s="5" t="s">
        <v>23</v>
      </c>
      <c r="B17" s="11">
        <v>355</v>
      </c>
      <c r="C17" s="7"/>
      <c r="D17" s="7"/>
      <c r="E17" s="7"/>
      <c r="F17" s="7"/>
      <c r="G17" s="7"/>
      <c r="H17" s="11">
        <v>2930</v>
      </c>
    </row>
    <row r="18" spans="1:8" ht="13.5" thickBot="1">
      <c r="A18" s="12" t="s">
        <v>24</v>
      </c>
      <c r="B18" s="13"/>
      <c r="C18" s="14"/>
      <c r="D18" s="14"/>
      <c r="E18" s="14"/>
      <c r="F18" s="14"/>
      <c r="G18" s="14"/>
      <c r="H18" s="15">
        <v>8.253521126760564</v>
      </c>
    </row>
    <row r="19" spans="1:8" ht="12.75">
      <c r="A19" s="16" t="s">
        <v>25</v>
      </c>
      <c r="B19" s="17">
        <v>130</v>
      </c>
      <c r="C19" s="18">
        <v>0.36619718309859156</v>
      </c>
      <c r="D19" s="19"/>
      <c r="E19" s="19"/>
      <c r="F19" s="19"/>
      <c r="G19" s="19"/>
      <c r="H19" s="19"/>
    </row>
    <row r="20" spans="1:8" ht="13.5" thickBot="1">
      <c r="A20" s="20" t="s">
        <v>26</v>
      </c>
      <c r="B20" s="21">
        <v>12</v>
      </c>
      <c r="C20" s="22">
        <v>0.03380281690140845</v>
      </c>
      <c r="D20" s="19"/>
      <c r="E20" s="19"/>
      <c r="F20" s="19"/>
      <c r="G20" s="19"/>
      <c r="H20" s="19"/>
    </row>
    <row r="22" spans="1:8" ht="12.75">
      <c r="A22" s="24"/>
      <c r="B22" s="3"/>
      <c r="C22" s="3"/>
      <c r="D22" s="3"/>
      <c r="E22" s="3"/>
      <c r="F22" s="3"/>
      <c r="G22" s="3"/>
      <c r="H22" s="3"/>
    </row>
    <row r="23" spans="1:8" ht="12.75">
      <c r="A23" s="24">
        <v>1997</v>
      </c>
      <c r="B23" s="2" t="s">
        <v>27</v>
      </c>
      <c r="C23" s="3" t="s">
        <v>2</v>
      </c>
      <c r="D23" s="3" t="s">
        <v>2</v>
      </c>
      <c r="E23" s="3" t="s">
        <v>2</v>
      </c>
      <c r="F23" s="3" t="s">
        <v>2</v>
      </c>
      <c r="G23" s="3" t="s">
        <v>2</v>
      </c>
      <c r="H23" s="2" t="s">
        <v>3</v>
      </c>
    </row>
    <row r="24" spans="1:8" ht="12.75">
      <c r="A24" s="25"/>
      <c r="B24" s="4" t="s">
        <v>4</v>
      </c>
      <c r="C24" s="3" t="s">
        <v>5</v>
      </c>
      <c r="D24" s="3" t="s">
        <v>6</v>
      </c>
      <c r="E24" s="3" t="s">
        <v>7</v>
      </c>
      <c r="F24" s="3" t="s">
        <v>8</v>
      </c>
      <c r="G24" s="3" t="s">
        <v>9</v>
      </c>
      <c r="H24" s="4" t="s">
        <v>2</v>
      </c>
    </row>
    <row r="25" spans="1:8" ht="12.75">
      <c r="A25" s="5" t="s">
        <v>11</v>
      </c>
      <c r="B25" s="6">
        <v>33</v>
      </c>
      <c r="C25" s="7">
        <v>188</v>
      </c>
      <c r="D25" s="7">
        <v>107</v>
      </c>
      <c r="E25" s="7">
        <v>53</v>
      </c>
      <c r="F25" s="7">
        <v>35</v>
      </c>
      <c r="G25" s="7"/>
      <c r="H25" s="6">
        <f aca="true" t="shared" si="0" ref="H25:H34">SUM(C25:G25)</f>
        <v>383</v>
      </c>
    </row>
    <row r="26" spans="1:8" ht="12.75">
      <c r="A26" s="5" t="s">
        <v>12</v>
      </c>
      <c r="B26" s="6">
        <v>34</v>
      </c>
      <c r="C26" s="7">
        <v>68</v>
      </c>
      <c r="D26" s="7">
        <v>92</v>
      </c>
      <c r="E26" s="7">
        <v>69</v>
      </c>
      <c r="F26" s="7">
        <v>88</v>
      </c>
      <c r="G26" s="7"/>
      <c r="H26" s="6">
        <f t="shared" si="0"/>
        <v>317</v>
      </c>
    </row>
    <row r="27" spans="1:8" ht="12.75">
      <c r="A27" s="5" t="s">
        <v>13</v>
      </c>
      <c r="B27" s="6">
        <v>31</v>
      </c>
      <c r="C27" s="7">
        <v>16</v>
      </c>
      <c r="D27" s="7">
        <v>36</v>
      </c>
      <c r="E27" s="7">
        <v>80</v>
      </c>
      <c r="F27" s="7">
        <v>130</v>
      </c>
      <c r="G27" s="7"/>
      <c r="H27" s="6">
        <f t="shared" si="0"/>
        <v>262</v>
      </c>
    </row>
    <row r="28" spans="1:8" ht="12.75">
      <c r="A28" s="5" t="s">
        <v>14</v>
      </c>
      <c r="B28" s="6">
        <v>21</v>
      </c>
      <c r="C28" s="7">
        <v>8</v>
      </c>
      <c r="D28" s="7">
        <v>51</v>
      </c>
      <c r="E28" s="7">
        <v>33</v>
      </c>
      <c r="F28" s="7">
        <v>14</v>
      </c>
      <c r="G28" s="7">
        <v>61</v>
      </c>
      <c r="H28" s="6">
        <f t="shared" si="0"/>
        <v>167</v>
      </c>
    </row>
    <row r="29" spans="1:8" ht="12.75">
      <c r="A29" s="5" t="s">
        <v>15</v>
      </c>
      <c r="B29" s="6">
        <v>31</v>
      </c>
      <c r="C29" s="7">
        <v>113</v>
      </c>
      <c r="D29" s="7" t="s">
        <v>28</v>
      </c>
      <c r="E29" s="7">
        <v>41</v>
      </c>
      <c r="F29" s="7">
        <v>22</v>
      </c>
      <c r="G29" s="7"/>
      <c r="H29" s="6">
        <f t="shared" si="0"/>
        <v>176</v>
      </c>
    </row>
    <row r="30" spans="1:8" ht="12.75">
      <c r="A30" s="5" t="s">
        <v>16</v>
      </c>
      <c r="B30" s="6">
        <v>33</v>
      </c>
      <c r="C30" s="7">
        <v>51</v>
      </c>
      <c r="D30" s="7">
        <v>69</v>
      </c>
      <c r="E30" s="7">
        <v>54</v>
      </c>
      <c r="F30" s="7">
        <v>71</v>
      </c>
      <c r="G30" s="7"/>
      <c r="H30" s="6">
        <f t="shared" si="0"/>
        <v>245</v>
      </c>
    </row>
    <row r="31" spans="1:8" ht="12.75">
      <c r="A31" s="5" t="s">
        <v>17</v>
      </c>
      <c r="B31" s="6">
        <v>33</v>
      </c>
      <c r="C31" s="7">
        <v>82</v>
      </c>
      <c r="D31" s="7">
        <v>68</v>
      </c>
      <c r="E31" s="7">
        <v>51</v>
      </c>
      <c r="F31" s="7">
        <v>44</v>
      </c>
      <c r="G31" s="7"/>
      <c r="H31" s="6">
        <f t="shared" si="0"/>
        <v>245</v>
      </c>
    </row>
    <row r="32" spans="1:8" ht="12.75">
      <c r="A32" s="5" t="s">
        <v>18</v>
      </c>
      <c r="B32" s="6">
        <v>25</v>
      </c>
      <c r="C32" s="7">
        <v>75</v>
      </c>
      <c r="D32" s="7">
        <v>120</v>
      </c>
      <c r="E32" s="7">
        <v>33</v>
      </c>
      <c r="F32" s="7">
        <v>36</v>
      </c>
      <c r="G32" s="7"/>
      <c r="H32" s="6">
        <f t="shared" si="0"/>
        <v>264</v>
      </c>
    </row>
    <row r="33" spans="1:8" ht="12.75">
      <c r="A33" s="5" t="s">
        <v>19</v>
      </c>
      <c r="B33" s="6">
        <v>39</v>
      </c>
      <c r="C33" s="7">
        <v>22</v>
      </c>
      <c r="D33" s="7">
        <v>129</v>
      </c>
      <c r="E33" s="7">
        <v>123</v>
      </c>
      <c r="F33" s="7">
        <v>82</v>
      </c>
      <c r="G33" s="7">
        <v>62</v>
      </c>
      <c r="H33" s="6">
        <f t="shared" si="0"/>
        <v>418</v>
      </c>
    </row>
    <row r="34" spans="1:8" ht="12.75">
      <c r="A34" s="5" t="s">
        <v>20</v>
      </c>
      <c r="B34" s="6">
        <v>37</v>
      </c>
      <c r="C34" s="7">
        <v>35</v>
      </c>
      <c r="D34" s="7">
        <v>73</v>
      </c>
      <c r="E34" s="7">
        <v>76</v>
      </c>
      <c r="F34" s="7">
        <v>94</v>
      </c>
      <c r="G34" s="7"/>
      <c r="H34" s="6">
        <f t="shared" si="0"/>
        <v>278</v>
      </c>
    </row>
    <row r="35" spans="1:8" ht="12.75">
      <c r="A35" s="5" t="s">
        <v>21</v>
      </c>
      <c r="B35" s="6">
        <v>26</v>
      </c>
      <c r="C35" s="7">
        <v>40</v>
      </c>
      <c r="D35" s="7">
        <v>76</v>
      </c>
      <c r="E35" s="7">
        <v>61</v>
      </c>
      <c r="F35" s="7">
        <v>37</v>
      </c>
      <c r="G35" s="7"/>
      <c r="H35" s="6">
        <f>SUM(C35:G35)</f>
        <v>214</v>
      </c>
    </row>
    <row r="36" spans="1:8" ht="13.5" thickBot="1">
      <c r="A36" s="26" t="s">
        <v>22</v>
      </c>
      <c r="B36" s="27">
        <v>33</v>
      </c>
      <c r="C36" s="28">
        <v>100</v>
      </c>
      <c r="D36" s="28">
        <v>52</v>
      </c>
      <c r="E36" s="28">
        <v>16</v>
      </c>
      <c r="F36" s="28">
        <v>60</v>
      </c>
      <c r="G36" s="28">
        <v>51</v>
      </c>
      <c r="H36" s="9">
        <f>SUM(C36:G36)</f>
        <v>279</v>
      </c>
    </row>
    <row r="37" spans="1:8" ht="14.25" thickBot="1" thickTop="1">
      <c r="A37" s="19" t="s">
        <v>29</v>
      </c>
      <c r="B37" s="32">
        <f>SUM(B25:B36)</f>
        <v>376</v>
      </c>
      <c r="C37" s="3"/>
      <c r="D37" s="3"/>
      <c r="E37" s="3"/>
      <c r="F37" s="3"/>
      <c r="G37" s="3"/>
      <c r="H37" s="29">
        <f>SUM(H25:H36)</f>
        <v>3248</v>
      </c>
    </row>
    <row r="38" spans="1:8" ht="13.5" thickBot="1">
      <c r="A38" s="12" t="s">
        <v>24</v>
      </c>
      <c r="B38" s="13"/>
      <c r="C38" s="14"/>
      <c r="D38" s="14"/>
      <c r="E38" s="14"/>
      <c r="F38" s="14"/>
      <c r="G38" s="14"/>
      <c r="H38" s="15">
        <f>H37/B37</f>
        <v>8.638297872340425</v>
      </c>
    </row>
    <row r="39" spans="1:8" ht="12.75">
      <c r="A39" s="16" t="s">
        <v>25</v>
      </c>
      <c r="B39" s="17">
        <v>162</v>
      </c>
      <c r="C39" s="30">
        <f>B39/B37</f>
        <v>0.4308510638297872</v>
      </c>
      <c r="D39" s="31"/>
      <c r="E39" s="31"/>
      <c r="F39" s="31"/>
      <c r="G39" s="31"/>
      <c r="H39" s="31"/>
    </row>
    <row r="40" spans="1:8" ht="12.75">
      <c r="A40" s="20" t="s">
        <v>26</v>
      </c>
      <c r="B40" s="21">
        <v>21</v>
      </c>
      <c r="C40" s="33">
        <f>B40/B37</f>
        <v>0.05585106382978723</v>
      </c>
      <c r="D40" s="31"/>
      <c r="E40" s="31"/>
      <c r="F40" s="31"/>
      <c r="G40" s="31"/>
      <c r="H40" s="31"/>
    </row>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38"/>
  <sheetViews>
    <sheetView workbookViewId="0" topLeftCell="A1">
      <selection activeCell="A46" sqref="A46"/>
    </sheetView>
  </sheetViews>
  <sheetFormatPr defaultColWidth="9.140625" defaultRowHeight="12.75"/>
  <cols>
    <col min="1" max="1" width="34.8515625" style="0" customWidth="1"/>
    <col min="3" max="3" width="10.28125" style="0" customWidth="1"/>
    <col min="4" max="4" width="13.28125" style="0" customWidth="1"/>
    <col min="5" max="5" width="11.8515625" style="0" customWidth="1"/>
    <col min="6" max="6" width="11.28125" style="0" customWidth="1"/>
    <col min="7" max="7" width="12.28125" style="0" customWidth="1"/>
    <col min="8" max="8" width="11.28125" style="0" customWidth="1"/>
    <col min="9" max="9" width="12.28125" style="0" customWidth="1"/>
    <col min="10" max="10" width="13.00390625" style="0" customWidth="1"/>
    <col min="11" max="11" width="12.00390625" style="0" customWidth="1"/>
  </cols>
  <sheetData>
    <row r="1" spans="1:11" ht="33.75" thickBot="1">
      <c r="A1" s="448" t="s">
        <v>30</v>
      </c>
      <c r="B1" s="449"/>
      <c r="C1" s="449"/>
      <c r="D1" s="449"/>
      <c r="E1" s="449"/>
      <c r="F1" s="449"/>
      <c r="G1" s="449"/>
      <c r="H1" s="449"/>
      <c r="I1" s="449"/>
      <c r="J1" s="449"/>
      <c r="K1" s="450"/>
    </row>
    <row r="2" spans="1:11" ht="12.75">
      <c r="A2" s="358"/>
      <c r="B2" s="356"/>
      <c r="C2" s="357"/>
      <c r="D2" s="369"/>
      <c r="E2" s="454" t="s">
        <v>31</v>
      </c>
      <c r="F2" s="455"/>
      <c r="G2" s="455"/>
      <c r="H2" s="455"/>
      <c r="I2" s="456"/>
      <c r="J2" s="318" t="s">
        <v>76</v>
      </c>
      <c r="K2" s="319"/>
    </row>
    <row r="3" spans="1:11" ht="12.75">
      <c r="A3" s="458">
        <v>2006</v>
      </c>
      <c r="B3" s="126" t="s">
        <v>93</v>
      </c>
      <c r="C3" s="116" t="s">
        <v>34</v>
      </c>
      <c r="D3" s="128" t="s">
        <v>35</v>
      </c>
      <c r="E3" s="126" t="s">
        <v>36</v>
      </c>
      <c r="F3" s="116" t="s">
        <v>37</v>
      </c>
      <c r="G3" s="116" t="s">
        <v>38</v>
      </c>
      <c r="H3" s="116" t="s">
        <v>113</v>
      </c>
      <c r="I3" s="372" t="s">
        <v>114</v>
      </c>
      <c r="J3" s="320" t="s">
        <v>97</v>
      </c>
      <c r="K3" s="321"/>
    </row>
    <row r="4" spans="1:11" ht="12.75">
      <c r="A4" s="458"/>
      <c r="B4" s="126" t="s">
        <v>4</v>
      </c>
      <c r="C4" s="116" t="s">
        <v>95</v>
      </c>
      <c r="D4" s="128" t="s">
        <v>41</v>
      </c>
      <c r="E4" s="126" t="s">
        <v>41</v>
      </c>
      <c r="F4" s="116" t="s">
        <v>41</v>
      </c>
      <c r="G4" s="116" t="s">
        <v>41</v>
      </c>
      <c r="H4" s="116" t="s">
        <v>41</v>
      </c>
      <c r="I4" s="129" t="s">
        <v>41</v>
      </c>
      <c r="J4" s="126" t="s">
        <v>110</v>
      </c>
      <c r="K4" s="129" t="s">
        <v>43</v>
      </c>
    </row>
    <row r="5" spans="1:11" ht="12.75">
      <c r="A5" s="359" t="s">
        <v>11</v>
      </c>
      <c r="B5" s="363">
        <f>SUM(E5:H5)</f>
        <v>37</v>
      </c>
      <c r="C5" s="177">
        <f>2+3+10+18+18+9+15+16+21+21+25+1+2+3+4+6+9+16+20+26+2+2+3+7+10+24+1+2+2+4+11+14+15+19+20+23+28+29</f>
        <v>461</v>
      </c>
      <c r="D5" s="370">
        <f aca="true" t="shared" si="0" ref="D5:D14">IF(B5=0,0,C5/B5)</f>
        <v>12.45945945945946</v>
      </c>
      <c r="E5" s="363">
        <v>14</v>
      </c>
      <c r="F5" s="177">
        <v>6</v>
      </c>
      <c r="G5" s="177">
        <v>8</v>
      </c>
      <c r="H5" s="177">
        <v>9</v>
      </c>
      <c r="I5" s="373">
        <v>0</v>
      </c>
      <c r="J5" s="282">
        <f>54/5</f>
        <v>10.8</v>
      </c>
      <c r="K5" s="281">
        <f>8/5</f>
        <v>1.6</v>
      </c>
    </row>
    <row r="6" spans="1:11" ht="12.75">
      <c r="A6" s="360" t="s">
        <v>12</v>
      </c>
      <c r="B6" s="126">
        <f aca="true" t="shared" si="1" ref="B6:B15">SUM(E6:H6)</f>
        <v>32</v>
      </c>
      <c r="C6" s="116">
        <f>1+1+3+7+13+16+21+24+24+42+1+3+3+9+11+11+13+14+14+17+22+23+30+1+2+3+8+12+13+18+30+1+1+11+26</f>
        <v>449</v>
      </c>
      <c r="D6" s="307">
        <f t="shared" si="0"/>
        <v>14.03125</v>
      </c>
      <c r="E6" s="126">
        <v>11</v>
      </c>
      <c r="F6" s="116">
        <v>3</v>
      </c>
      <c r="G6" s="116">
        <v>12</v>
      </c>
      <c r="H6" s="116">
        <v>6</v>
      </c>
      <c r="I6" s="374">
        <v>3</v>
      </c>
      <c r="J6" s="282">
        <f>37/4</f>
        <v>9.25</v>
      </c>
      <c r="K6" s="281">
        <f>6/4</f>
        <v>1.5</v>
      </c>
    </row>
    <row r="7" spans="1:11" ht="12.75">
      <c r="A7" s="360" t="s">
        <v>13</v>
      </c>
      <c r="B7" s="126">
        <f>SUM(E7:H7)</f>
        <v>27</v>
      </c>
      <c r="C7" s="116">
        <f>1+1+6+6+12+17+20+12+1+1+6+1+23+1+4+9+16+26+29+1+1+5+14+15+19+22+25</f>
        <v>294</v>
      </c>
      <c r="D7" s="307">
        <f t="shared" si="0"/>
        <v>10.88888888888889</v>
      </c>
      <c r="E7" s="126">
        <v>10</v>
      </c>
      <c r="F7" s="116">
        <v>4</v>
      </c>
      <c r="G7" s="116">
        <v>7</v>
      </c>
      <c r="H7" s="116">
        <v>6</v>
      </c>
      <c r="I7" s="374">
        <v>0</v>
      </c>
      <c r="J7" s="282">
        <f>17/4</f>
        <v>4.25</v>
      </c>
      <c r="K7" s="281">
        <f>5/4</f>
        <v>1.25</v>
      </c>
    </row>
    <row r="8" spans="1:11" ht="12.75">
      <c r="A8" s="360" t="s">
        <v>14</v>
      </c>
      <c r="B8" s="126">
        <f t="shared" si="1"/>
        <v>27</v>
      </c>
      <c r="C8" s="116">
        <f>1+1+2+6+14+19+2+2+14+17+17+18+20+23+26+1+1+2+8+12+16+25+22+9+12+18+30</f>
        <v>338</v>
      </c>
      <c r="D8" s="307">
        <f t="shared" si="0"/>
        <v>12.518518518518519</v>
      </c>
      <c r="E8" s="126">
        <v>9</v>
      </c>
      <c r="F8" s="116">
        <v>3</v>
      </c>
      <c r="G8" s="116">
        <v>10</v>
      </c>
      <c r="H8" s="116">
        <v>5</v>
      </c>
      <c r="I8" s="374">
        <v>1</v>
      </c>
      <c r="J8" s="282">
        <f>30/4</f>
        <v>7.5</v>
      </c>
      <c r="K8" s="281">
        <f>6/4</f>
        <v>1.5</v>
      </c>
    </row>
    <row r="9" spans="1:11" ht="12.75">
      <c r="A9" s="360" t="s">
        <v>15</v>
      </c>
      <c r="B9" s="126">
        <f t="shared" si="1"/>
        <v>35</v>
      </c>
      <c r="C9" s="116">
        <f>1+2+5+20+23+2+2+10+12+12+14+16+20+23+24+1+2+5+7+8+20+2+3+5+12+13+15+16+19+1+2+2+12+12+26</f>
        <v>369</v>
      </c>
      <c r="D9" s="307">
        <f t="shared" si="0"/>
        <v>10.542857142857143</v>
      </c>
      <c r="E9" s="126">
        <v>14</v>
      </c>
      <c r="F9" s="116">
        <v>2</v>
      </c>
      <c r="G9" s="116">
        <v>12</v>
      </c>
      <c r="H9" s="116">
        <v>7</v>
      </c>
      <c r="I9" s="374">
        <v>0</v>
      </c>
      <c r="J9" s="282">
        <f>44/4</f>
        <v>11</v>
      </c>
      <c r="K9" s="281">
        <f>5/4</f>
        <v>1.25</v>
      </c>
    </row>
    <row r="10" spans="1:11" ht="12.75">
      <c r="A10" s="360" t="s">
        <v>16</v>
      </c>
      <c r="B10" s="126">
        <f t="shared" si="1"/>
        <v>44</v>
      </c>
      <c r="C10" s="116">
        <f>1+1+2+3+7+10+13+15+16+17+17+19+19+20+22+23+25+30+1+1+3+4+11+12+15+15+21+21+24+25+1+8+9+15+17+20+22+28+1+3+9+11+22+23+28</f>
        <v>630</v>
      </c>
      <c r="D10" s="307">
        <f t="shared" si="0"/>
        <v>14.318181818181818</v>
      </c>
      <c r="E10" s="126">
        <v>11</v>
      </c>
      <c r="F10" s="116">
        <v>5</v>
      </c>
      <c r="G10" s="116">
        <v>14</v>
      </c>
      <c r="H10" s="116">
        <v>14</v>
      </c>
      <c r="I10" s="374">
        <v>1</v>
      </c>
      <c r="J10" s="282">
        <f>43/4</f>
        <v>10.75</v>
      </c>
      <c r="K10" s="281">
        <f>3/4</f>
        <v>0.75</v>
      </c>
    </row>
    <row r="11" spans="1:11" ht="12.75">
      <c r="A11" s="360" t="s">
        <v>17</v>
      </c>
      <c r="B11" s="164">
        <f t="shared" si="1"/>
        <v>36</v>
      </c>
      <c r="C11" s="162">
        <f>1+3+5+9+11+15+16+20+2+5+7+10+14+14+16+19+1+1+5+7+7+17+21+33+1+3+4+8+8+9+14+17+18+19+22+22+22+31</f>
        <v>457</v>
      </c>
      <c r="D11" s="307">
        <f t="shared" si="0"/>
        <v>12.694444444444445</v>
      </c>
      <c r="E11" s="164">
        <v>11</v>
      </c>
      <c r="F11" s="162">
        <v>8</v>
      </c>
      <c r="G11" s="162">
        <v>12</v>
      </c>
      <c r="H11" s="162">
        <v>5</v>
      </c>
      <c r="I11" s="374">
        <v>2</v>
      </c>
      <c r="J11" s="282">
        <f>28/4</f>
        <v>7</v>
      </c>
      <c r="K11" s="281">
        <f>15/4</f>
        <v>3.75</v>
      </c>
    </row>
    <row r="12" spans="1:11" ht="12.75">
      <c r="A12" s="360" t="s">
        <v>18</v>
      </c>
      <c r="B12" s="126">
        <f t="shared" si="1"/>
        <v>37</v>
      </c>
      <c r="C12" s="116">
        <f>1+2+8+10+11+12+14+16+19+25+1+1+4+5+17+20+21+24+25+29+31+2+2+2+7+10+17+19+25+1+1+3+9+19+22+5+18+18</f>
        <v>476</v>
      </c>
      <c r="D12" s="307">
        <f t="shared" si="0"/>
        <v>12.864864864864865</v>
      </c>
      <c r="E12" s="126">
        <v>13</v>
      </c>
      <c r="F12" s="116">
        <v>5</v>
      </c>
      <c r="G12" s="116">
        <v>11</v>
      </c>
      <c r="H12" s="116">
        <v>8</v>
      </c>
      <c r="I12" s="374">
        <v>1</v>
      </c>
      <c r="J12" s="282">
        <f>(7+11+11+10+13)/5</f>
        <v>10.4</v>
      </c>
      <c r="K12" s="281">
        <f>(3+2+2+3)/5</f>
        <v>2</v>
      </c>
    </row>
    <row r="13" spans="1:11" ht="12.75">
      <c r="A13" s="360" t="s">
        <v>19</v>
      </c>
      <c r="B13" s="126">
        <f t="shared" si="1"/>
        <v>28</v>
      </c>
      <c r="C13" s="116">
        <f>1+1+1+4+5+5+10+10+11+22+22+27+2+10+21+27+3+7+18+21+41+5+8+11+13+15+19+26+28</f>
        <v>394</v>
      </c>
      <c r="D13" s="307">
        <f t="shared" si="0"/>
        <v>14.071428571428571</v>
      </c>
      <c r="E13" s="126">
        <v>9</v>
      </c>
      <c r="F13" s="116">
        <v>5</v>
      </c>
      <c r="G13" s="116">
        <v>6</v>
      </c>
      <c r="H13" s="116">
        <v>8</v>
      </c>
      <c r="I13" s="374">
        <v>1</v>
      </c>
      <c r="J13" s="282">
        <f>(10+8+16+9)/4</f>
        <v>10.75</v>
      </c>
      <c r="K13" s="281">
        <f>(3+1+2+2)/4</f>
        <v>2</v>
      </c>
    </row>
    <row r="14" spans="1:11" ht="12.75">
      <c r="A14" s="360" t="s">
        <v>20</v>
      </c>
      <c r="B14" s="126">
        <f t="shared" si="1"/>
        <v>31</v>
      </c>
      <c r="C14" s="162">
        <f>1+10+22+27+8+20+30+4+10+10+11+12+13+19+20+21+25+28+31+1+3+9+9+10+20+23+25+10+22+24</f>
        <v>478</v>
      </c>
      <c r="D14" s="307">
        <f t="shared" si="0"/>
        <v>15.419354838709678</v>
      </c>
      <c r="E14" s="126">
        <v>4</v>
      </c>
      <c r="F14" s="116">
        <v>8</v>
      </c>
      <c r="G14" s="116">
        <v>7</v>
      </c>
      <c r="H14" s="116">
        <v>12</v>
      </c>
      <c r="I14" s="374">
        <v>2</v>
      </c>
      <c r="J14" s="282">
        <f>(9+5+6+6+5)/5</f>
        <v>6.2</v>
      </c>
      <c r="K14" s="281">
        <f>(2+1+2+1+1)/5</f>
        <v>1.4</v>
      </c>
    </row>
    <row r="15" spans="1:11" ht="12.75">
      <c r="A15" s="360" t="s">
        <v>21</v>
      </c>
      <c r="B15" s="126">
        <f t="shared" si="1"/>
        <v>34</v>
      </c>
      <c r="C15" s="266">
        <f>7+12+12+16+16+21+25+7+9+15+16+17+18+20+21+22+24+27+1+7+9+17+24+29+11+12+12+13+18+18+22+22+23+28</f>
        <v>571</v>
      </c>
      <c r="D15" s="307">
        <f>IF(B15=0,0,C14/B15)</f>
        <v>14.058823529411764</v>
      </c>
      <c r="E15" s="126">
        <v>1</v>
      </c>
      <c r="F15" s="116">
        <v>5</v>
      </c>
      <c r="G15" s="116">
        <v>15</v>
      </c>
      <c r="H15" s="116">
        <v>13</v>
      </c>
      <c r="I15" s="374">
        <v>0</v>
      </c>
      <c r="J15" s="282">
        <f>(10+11+12+7)/4</f>
        <v>10</v>
      </c>
      <c r="K15" s="281">
        <f>(4+1+1+3)/4</f>
        <v>2.25</v>
      </c>
    </row>
    <row r="16" spans="1:11" ht="13.5" thickBot="1">
      <c r="A16" s="360" t="s">
        <v>22</v>
      </c>
      <c r="B16" s="131">
        <f>SUM(E16:H16)</f>
        <v>22</v>
      </c>
      <c r="C16" s="118">
        <f>128+1+2+2+9+25+25+1+3+3+3+4+11+29+6+16+17+18+22</f>
        <v>325</v>
      </c>
      <c r="D16" s="392">
        <f>IF(B16=0,0,C16/B16)</f>
        <v>14.772727272727273</v>
      </c>
      <c r="E16" s="131">
        <v>11</v>
      </c>
      <c r="F16" s="118">
        <v>2</v>
      </c>
      <c r="G16" s="118">
        <v>5</v>
      </c>
      <c r="H16" s="118">
        <v>4</v>
      </c>
      <c r="I16" s="367">
        <v>0</v>
      </c>
      <c r="J16" s="282">
        <f>(13+2+4)/3</f>
        <v>6.333333333333333</v>
      </c>
      <c r="K16" s="281">
        <f>(0+1+1+0)/4</f>
        <v>0.5</v>
      </c>
    </row>
    <row r="17" spans="1:11" ht="14.25" thickBot="1" thickTop="1">
      <c r="A17" s="361" t="s">
        <v>46</v>
      </c>
      <c r="B17" s="365">
        <f>SUM(B5:B16)</f>
        <v>390</v>
      </c>
      <c r="C17" s="208">
        <f>SUM(C5:C16)</f>
        <v>5242</v>
      </c>
      <c r="D17" s="371">
        <f>C17/B17</f>
        <v>13.441025641025641</v>
      </c>
      <c r="E17" s="375">
        <f>SUM(E5:E16)</f>
        <v>118</v>
      </c>
      <c r="F17" s="221">
        <f>SUM(F5:F16)</f>
        <v>56</v>
      </c>
      <c r="G17" s="221">
        <f>SUM(G5:G16)</f>
        <v>119</v>
      </c>
      <c r="H17" s="221">
        <f>SUM(H5:H16)</f>
        <v>97</v>
      </c>
      <c r="I17" s="373">
        <f>SUM(I5:I16)</f>
        <v>11</v>
      </c>
      <c r="J17" s="322" t="s">
        <v>90</v>
      </c>
      <c r="K17" s="323"/>
    </row>
    <row r="18" spans="1:11" ht="12.75">
      <c r="A18" s="428" t="s">
        <v>59</v>
      </c>
      <c r="B18" s="429"/>
      <c r="C18" s="429"/>
      <c r="D18" s="429"/>
      <c r="E18" s="376">
        <f>E17/$B$17</f>
        <v>0.30256410256410254</v>
      </c>
      <c r="F18" s="245">
        <f>F17/$B$17</f>
        <v>0.14358974358974358</v>
      </c>
      <c r="G18" s="245">
        <f>G17/$B$17</f>
        <v>0.30512820512820515</v>
      </c>
      <c r="H18" s="245">
        <f>H17/$B$17</f>
        <v>0.24871794871794872</v>
      </c>
      <c r="I18" s="377">
        <f>I17/$B$17</f>
        <v>0.028205128205128206</v>
      </c>
      <c r="J18" s="324">
        <f>SUM(J5:J16)/12</f>
        <v>8.686111111111112</v>
      </c>
      <c r="K18" s="325">
        <f>SUM(K5:K16)/12</f>
        <v>1.6458333333333333</v>
      </c>
    </row>
    <row r="19" spans="1:11" ht="12.75">
      <c r="A19" s="430" t="s">
        <v>82</v>
      </c>
      <c r="B19" s="457"/>
      <c r="C19" s="457"/>
      <c r="D19" s="457"/>
      <c r="E19" s="378"/>
      <c r="F19" s="440">
        <f>SUM(F18:I18)</f>
        <v>0.7256410256410256</v>
      </c>
      <c r="G19" s="441"/>
      <c r="H19" s="441"/>
      <c r="I19" s="442"/>
      <c r="J19" s="326" t="s">
        <v>83</v>
      </c>
      <c r="K19" s="327"/>
    </row>
    <row r="20" spans="1:11" ht="13.5" thickBot="1">
      <c r="A20" s="316" t="s">
        <v>84</v>
      </c>
      <c r="B20" s="316"/>
      <c r="C20" s="316"/>
      <c r="D20" s="366"/>
      <c r="E20" s="443">
        <f>SUM(E18:F18)</f>
        <v>0.4461538461538461</v>
      </c>
      <c r="F20" s="444"/>
      <c r="G20" s="433">
        <f>SUM(G18:I18)</f>
        <v>0.5820512820512821</v>
      </c>
      <c r="H20" s="434"/>
      <c r="I20" s="427"/>
      <c r="J20" s="431">
        <f>4+1+12+38+15+8+10+11+10+23</f>
        <v>132</v>
      </c>
      <c r="K20" s="432"/>
    </row>
    <row r="21" spans="1:11" ht="12.75">
      <c r="A21" s="445"/>
      <c r="B21" s="446"/>
      <c r="C21" s="446"/>
      <c r="D21" s="446"/>
      <c r="E21" s="446"/>
      <c r="F21" s="446"/>
      <c r="G21" s="446"/>
      <c r="H21" s="446"/>
      <c r="I21" s="446"/>
      <c r="J21" s="446"/>
      <c r="K21" s="447"/>
    </row>
    <row r="22" spans="1:11" ht="12.75">
      <c r="A22" s="314" t="s">
        <v>87</v>
      </c>
      <c r="B22" s="116">
        <v>1996</v>
      </c>
      <c r="C22" s="116">
        <v>1997</v>
      </c>
      <c r="D22" s="116">
        <v>1998</v>
      </c>
      <c r="E22" s="116">
        <v>1999</v>
      </c>
      <c r="F22" s="116">
        <v>2000</v>
      </c>
      <c r="G22" s="116">
        <v>2001</v>
      </c>
      <c r="H22" s="116">
        <v>2002</v>
      </c>
      <c r="I22" s="116">
        <v>2003</v>
      </c>
      <c r="J22" s="116">
        <v>2004</v>
      </c>
      <c r="K22" s="315">
        <v>2005</v>
      </c>
    </row>
    <row r="23" spans="1:11" ht="12.75">
      <c r="A23" s="313" t="s">
        <v>91</v>
      </c>
      <c r="B23" s="225">
        <v>355</v>
      </c>
      <c r="C23" s="225">
        <v>376</v>
      </c>
      <c r="D23" s="225">
        <f>'1998'!B18</f>
        <v>351</v>
      </c>
      <c r="E23" s="224">
        <f>'1999'!B18</f>
        <v>394.83333333333337</v>
      </c>
      <c r="F23" s="224">
        <f>'2000'!B18</f>
        <v>360</v>
      </c>
      <c r="G23" s="224">
        <f>'2001'!B18</f>
        <v>343</v>
      </c>
      <c r="H23" s="162">
        <f>'2002'!B18</f>
        <v>354</v>
      </c>
      <c r="I23" s="162">
        <f>'2003'!B18</f>
        <v>381</v>
      </c>
      <c r="J23" s="162">
        <f>'2004'!B18</f>
        <v>394</v>
      </c>
      <c r="K23" s="310">
        <f>'2005'!K23</f>
        <v>418</v>
      </c>
    </row>
    <row r="24" spans="1:11" ht="12.75">
      <c r="A24" s="313" t="s">
        <v>92</v>
      </c>
      <c r="B24" s="222">
        <v>2930</v>
      </c>
      <c r="C24" s="222">
        <v>3248</v>
      </c>
      <c r="D24" s="222">
        <f>'1998'!C18</f>
        <v>3609</v>
      </c>
      <c r="E24" s="223">
        <f>'1999'!C18</f>
        <v>4015.1666666666665</v>
      </c>
      <c r="F24" s="224">
        <f>'2000'!C18</f>
        <v>3781</v>
      </c>
      <c r="G24" s="224">
        <f>'2001'!C18</f>
        <v>3842</v>
      </c>
      <c r="H24" s="162">
        <f>'2002'!C18</f>
        <v>4152</v>
      </c>
      <c r="I24" s="162">
        <f>'2003'!C18</f>
        <v>4433</v>
      </c>
      <c r="J24" s="162">
        <f>'2004'!C18</f>
        <v>4829</v>
      </c>
      <c r="K24" s="310">
        <f>'2005'!C17</f>
        <v>5009</v>
      </c>
    </row>
    <row r="25" spans="1:11" ht="12.75">
      <c r="A25" s="313" t="s">
        <v>53</v>
      </c>
      <c r="B25" s="225">
        <v>8.3</v>
      </c>
      <c r="C25" s="225">
        <v>8.6</v>
      </c>
      <c r="D25" s="226">
        <f>'1998'!D18</f>
        <v>10.282051282051283</v>
      </c>
      <c r="E25" s="226">
        <f>'1999'!D18</f>
        <v>10.169269734065004</v>
      </c>
      <c r="F25" s="226">
        <f>'2000'!D18</f>
        <v>10.502777777777778</v>
      </c>
      <c r="G25" s="226">
        <f>'2001'!D18</f>
        <v>11.201166180758017</v>
      </c>
      <c r="H25" s="176">
        <f>'2002'!D18</f>
        <v>11.728813559322035</v>
      </c>
      <c r="I25" s="176">
        <f>'2003'!D18</f>
        <v>11.63517060367454</v>
      </c>
      <c r="J25" s="176">
        <f>'2004'!D18</f>
        <v>12.256345177664974</v>
      </c>
      <c r="K25" s="311">
        <f>'2005'!D17</f>
        <v>11.983253588516746</v>
      </c>
    </row>
    <row r="26" spans="1:11" ht="12.75">
      <c r="A26" s="313" t="s">
        <v>54</v>
      </c>
      <c r="B26" s="225">
        <f>'96,''97'!B20</f>
        <v>12</v>
      </c>
      <c r="C26" s="225">
        <f>'96,''97'!B40</f>
        <v>21</v>
      </c>
      <c r="D26" s="225">
        <f>'1998'!H18</f>
        <v>29</v>
      </c>
      <c r="E26" s="224">
        <f>'1999'!H18</f>
        <v>30.333333333333332</v>
      </c>
      <c r="F26" s="224">
        <f>'2000'!H18</f>
        <v>38</v>
      </c>
      <c r="G26" s="224">
        <f>'2001'!H18</f>
        <v>49</v>
      </c>
      <c r="H26" s="162">
        <f>'2002'!H18</f>
        <v>60</v>
      </c>
      <c r="I26" s="162">
        <f>'2003'!H18</f>
        <v>68</v>
      </c>
      <c r="J26" s="162">
        <f>'2004'!H18</f>
        <v>94</v>
      </c>
      <c r="K26" s="310">
        <f>'2005'!K26</f>
        <v>106</v>
      </c>
    </row>
    <row r="27" spans="1:11" ht="12.75">
      <c r="A27" s="333" t="s">
        <v>55</v>
      </c>
      <c r="B27" s="329">
        <v>0.03</v>
      </c>
      <c r="C27" s="329">
        <v>0.06</v>
      </c>
      <c r="D27" s="334">
        <f>'1998'!H19</f>
        <v>0.08262108262108261</v>
      </c>
      <c r="E27" s="334">
        <f>'1999'!H19</f>
        <v>0.07682566483748415</v>
      </c>
      <c r="F27" s="335">
        <v>0.106</v>
      </c>
      <c r="G27" s="335">
        <f>'2001'!H19</f>
        <v>0.14285714285714285</v>
      </c>
      <c r="H27" s="336">
        <f>'2002'!H19</f>
        <v>0.1694915254237288</v>
      </c>
      <c r="I27" s="337">
        <f>'2003'!H19</f>
        <v>0.1784776902887139</v>
      </c>
      <c r="J27" s="337">
        <f>'2004'!H19</f>
        <v>0.23857868020304568</v>
      </c>
      <c r="K27" s="338">
        <f>'2005'!K27</f>
        <v>0.2535885167464115</v>
      </c>
    </row>
    <row r="28" spans="1:11" ht="12.75">
      <c r="A28" s="451" t="s">
        <v>116</v>
      </c>
      <c r="B28" s="452"/>
      <c r="C28" s="452"/>
      <c r="D28" s="452"/>
      <c r="E28" s="452"/>
      <c r="F28" s="452"/>
      <c r="G28" s="452"/>
      <c r="H28" s="452"/>
      <c r="I28" s="452"/>
      <c r="J28" s="453"/>
      <c r="K28" s="312"/>
    </row>
    <row r="29" spans="1:11" ht="15">
      <c r="A29" s="339" t="s">
        <v>94</v>
      </c>
      <c r="B29" s="340"/>
      <c r="C29" s="340"/>
      <c r="D29" s="340"/>
      <c r="E29" s="340"/>
      <c r="F29" s="340"/>
      <c r="G29" s="340"/>
      <c r="H29" s="340"/>
      <c r="I29" s="341"/>
      <c r="J29" s="341"/>
      <c r="K29" s="342"/>
    </row>
    <row r="30" spans="1:11" ht="12.75">
      <c r="A30" s="343" t="s">
        <v>99</v>
      </c>
      <c r="B30" s="122"/>
      <c r="C30" s="122"/>
      <c r="D30" s="122"/>
      <c r="E30" s="122"/>
      <c r="F30" s="122"/>
      <c r="G30" s="122"/>
      <c r="H30" s="122"/>
      <c r="I30" s="122"/>
      <c r="J30" s="122"/>
      <c r="K30" s="344"/>
    </row>
    <row r="31" spans="1:11" ht="12.75">
      <c r="A31" s="343" t="s">
        <v>98</v>
      </c>
      <c r="B31" s="122"/>
      <c r="C31" s="122"/>
      <c r="D31" s="122"/>
      <c r="E31" s="122"/>
      <c r="F31" s="122"/>
      <c r="G31" s="122"/>
      <c r="H31" s="122"/>
      <c r="I31" s="122"/>
      <c r="J31" s="122"/>
      <c r="K31" s="344"/>
    </row>
    <row r="32" spans="1:11" ht="12.75">
      <c r="A32" s="343" t="s">
        <v>120</v>
      </c>
      <c r="B32" s="122"/>
      <c r="C32" s="122"/>
      <c r="D32" s="122"/>
      <c r="E32" s="122"/>
      <c r="F32" s="122"/>
      <c r="G32" s="122"/>
      <c r="H32" s="122"/>
      <c r="I32" s="122"/>
      <c r="J32" s="122"/>
      <c r="K32" s="344"/>
    </row>
    <row r="33" spans="1:11" ht="12.75">
      <c r="A33" s="343" t="s">
        <v>119</v>
      </c>
      <c r="B33" s="122"/>
      <c r="C33" s="122"/>
      <c r="D33" s="122"/>
      <c r="E33" s="122"/>
      <c r="F33" s="122"/>
      <c r="G33" s="122"/>
      <c r="H33" s="122"/>
      <c r="I33" s="122"/>
      <c r="J33" s="122"/>
      <c r="K33" s="344"/>
    </row>
    <row r="34" spans="1:11" ht="12.75">
      <c r="A34" s="343" t="s">
        <v>118</v>
      </c>
      <c r="B34" s="122"/>
      <c r="C34" s="122"/>
      <c r="D34" s="122"/>
      <c r="E34" s="122"/>
      <c r="F34" s="122"/>
      <c r="G34" s="122"/>
      <c r="H34" s="122"/>
      <c r="I34" s="122"/>
      <c r="J34" s="122"/>
      <c r="K34" s="344"/>
    </row>
    <row r="35" spans="1:11" ht="12.75">
      <c r="A35" s="345" t="s">
        <v>103</v>
      </c>
      <c r="B35" s="25"/>
      <c r="C35" s="25"/>
      <c r="D35" s="25"/>
      <c r="E35" s="25"/>
      <c r="F35" s="25"/>
      <c r="G35" s="25"/>
      <c r="H35" s="25"/>
      <c r="I35" s="25"/>
      <c r="J35" s="25"/>
      <c r="K35" s="344"/>
    </row>
    <row r="36" spans="1:11" ht="12.75">
      <c r="A36" s="346" t="s">
        <v>101</v>
      </c>
      <c r="B36" s="25"/>
      <c r="C36" s="25"/>
      <c r="D36" s="25"/>
      <c r="E36" s="25"/>
      <c r="F36" s="25"/>
      <c r="G36" s="25"/>
      <c r="H36" s="25"/>
      <c r="I36" s="25"/>
      <c r="J36" s="25"/>
      <c r="K36" s="344"/>
    </row>
    <row r="37" spans="1:11" ht="12.75">
      <c r="A37" s="346" t="s">
        <v>102</v>
      </c>
      <c r="B37" s="25"/>
      <c r="C37" s="25"/>
      <c r="D37" s="25"/>
      <c r="E37" s="25"/>
      <c r="F37" s="25"/>
      <c r="G37" s="25"/>
      <c r="H37" s="25"/>
      <c r="I37" s="25"/>
      <c r="J37" s="25"/>
      <c r="K37" s="344"/>
    </row>
    <row r="38" spans="1:11" ht="12.75">
      <c r="A38" s="347" t="s">
        <v>112</v>
      </c>
      <c r="B38" s="348"/>
      <c r="C38" s="348"/>
      <c r="D38" s="348"/>
      <c r="E38" s="348"/>
      <c r="F38" s="348"/>
      <c r="G38" s="348"/>
      <c r="H38" s="348"/>
      <c r="I38" s="348"/>
      <c r="J38" s="348"/>
      <c r="K38" s="349"/>
    </row>
  </sheetData>
  <mergeCells count="11">
    <mergeCell ref="A28:J28"/>
    <mergeCell ref="E2:I2"/>
    <mergeCell ref="J20:K20"/>
    <mergeCell ref="G20:I20"/>
    <mergeCell ref="A18:D18"/>
    <mergeCell ref="A19:D19"/>
    <mergeCell ref="A3:A4"/>
    <mergeCell ref="F19:I19"/>
    <mergeCell ref="E20:F20"/>
    <mergeCell ref="A21:K21"/>
    <mergeCell ref="A1:K1"/>
  </mergeCells>
  <printOptions/>
  <pageMargins left="0.75" right="0.75" top="1" bottom="1" header="0.5" footer="0.5"/>
  <pageSetup fitToHeight="1" fitToWidth="1" horizontalDpi="200" verticalDpi="200" orientation="landscape" paperSize="9" scale="87"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C14" sqref="C14"/>
    </sheetView>
  </sheetViews>
  <sheetFormatPr defaultColWidth="9.140625" defaultRowHeight="12.75"/>
  <cols>
    <col min="1" max="1" width="36.00390625" style="0" customWidth="1"/>
    <col min="2" max="2" width="11.421875" style="0" customWidth="1"/>
    <col min="3" max="3" width="10.8515625" style="0" customWidth="1"/>
    <col min="4" max="4" width="11.28125" style="0" customWidth="1"/>
    <col min="5" max="5" width="11.140625" style="0" customWidth="1"/>
    <col min="6" max="6" width="10.7109375" style="0" customWidth="1"/>
    <col min="7" max="7" width="11.140625" style="0" customWidth="1"/>
    <col min="8" max="8" width="11.421875" style="0" customWidth="1"/>
    <col min="9" max="9" width="13.00390625" style="0" customWidth="1"/>
    <col min="10" max="10" width="13.140625" style="0" customWidth="1"/>
    <col min="11" max="11" width="14.140625" style="0" customWidth="1"/>
    <col min="12" max="12" width="9.57421875" style="0" bestFit="1" customWidth="1"/>
  </cols>
  <sheetData>
    <row r="1" spans="1:13" ht="33.75" thickBot="1">
      <c r="A1" s="472" t="s">
        <v>30</v>
      </c>
      <c r="B1" s="435"/>
      <c r="C1" s="435"/>
      <c r="D1" s="435"/>
      <c r="E1" s="435"/>
      <c r="F1" s="435"/>
      <c r="G1" s="435"/>
      <c r="H1" s="435"/>
      <c r="I1" s="435"/>
      <c r="J1" s="435"/>
      <c r="K1" s="435"/>
      <c r="L1" s="435"/>
      <c r="M1" s="435"/>
    </row>
    <row r="2" spans="1:13" ht="15.75">
      <c r="A2" s="395" t="s">
        <v>87</v>
      </c>
      <c r="B2" s="292">
        <v>1996</v>
      </c>
      <c r="C2" s="292">
        <v>1997</v>
      </c>
      <c r="D2" s="292">
        <v>1998</v>
      </c>
      <c r="E2" s="292">
        <v>1999</v>
      </c>
      <c r="F2" s="292">
        <v>2000</v>
      </c>
      <c r="G2" s="292">
        <v>2001</v>
      </c>
      <c r="H2" s="292">
        <v>2002</v>
      </c>
      <c r="I2" s="292">
        <v>2003</v>
      </c>
      <c r="J2" s="292">
        <v>2004</v>
      </c>
      <c r="K2" s="396">
        <v>2005</v>
      </c>
      <c r="L2" s="396">
        <v>2006</v>
      </c>
      <c r="M2" s="400">
        <v>2007</v>
      </c>
    </row>
    <row r="3" spans="1:13" ht="12.75">
      <c r="A3" s="265" t="s">
        <v>91</v>
      </c>
      <c r="B3" s="225">
        <v>355</v>
      </c>
      <c r="C3" s="225">
        <v>376</v>
      </c>
      <c r="D3" s="225">
        <f>'1998'!B18</f>
        <v>351</v>
      </c>
      <c r="E3" s="224">
        <f>'1999'!B18</f>
        <v>394.83333333333337</v>
      </c>
      <c r="F3" s="224">
        <f>'2000'!B18</f>
        <v>360</v>
      </c>
      <c r="G3" s="224">
        <f>'2001'!B18</f>
        <v>343</v>
      </c>
      <c r="H3" s="162">
        <f>'2002'!B18</f>
        <v>354</v>
      </c>
      <c r="I3" s="162">
        <f>'2003'!B18</f>
        <v>381</v>
      </c>
      <c r="J3" s="162">
        <f>'2004'!B18</f>
        <v>394</v>
      </c>
      <c r="K3" s="310">
        <f>'2005'!K23</f>
        <v>418</v>
      </c>
      <c r="L3" s="310">
        <f>'2006'!B17</f>
        <v>390</v>
      </c>
      <c r="M3" s="401">
        <f>'2007'!B26</f>
        <v>368</v>
      </c>
    </row>
    <row r="4" spans="1:13" ht="12.75">
      <c r="A4" s="265" t="s">
        <v>92</v>
      </c>
      <c r="B4" s="222">
        <v>2930</v>
      </c>
      <c r="C4" s="222">
        <v>3248</v>
      </c>
      <c r="D4" s="222">
        <f>'1998'!C18</f>
        <v>3609</v>
      </c>
      <c r="E4" s="223">
        <f>'1999'!C18</f>
        <v>4015.1666666666665</v>
      </c>
      <c r="F4" s="224">
        <f>'2000'!C18</f>
        <v>3781</v>
      </c>
      <c r="G4" s="224">
        <f>'2001'!C18</f>
        <v>3842</v>
      </c>
      <c r="H4" s="162">
        <f>'2002'!C18</f>
        <v>4152</v>
      </c>
      <c r="I4" s="162">
        <f>'2003'!C18</f>
        <v>4433</v>
      </c>
      <c r="J4" s="162">
        <f>'2004'!C18</f>
        <v>4829</v>
      </c>
      <c r="K4" s="310">
        <f>'2005'!C17</f>
        <v>5009</v>
      </c>
      <c r="L4" s="310">
        <f>'2006'!C17</f>
        <v>5242</v>
      </c>
      <c r="M4" s="401">
        <f>'2007'!C26</f>
        <v>5207</v>
      </c>
    </row>
    <row r="5" spans="1:13" ht="12.75">
      <c r="A5" s="265" t="s">
        <v>53</v>
      </c>
      <c r="B5" s="225">
        <v>8.3</v>
      </c>
      <c r="C5" s="225">
        <v>8.6</v>
      </c>
      <c r="D5" s="226">
        <f>'1998'!D18</f>
        <v>10.282051282051283</v>
      </c>
      <c r="E5" s="226">
        <f>'1999'!D18</f>
        <v>10.169269734065004</v>
      </c>
      <c r="F5" s="226">
        <f>'2000'!D18</f>
        <v>10.502777777777778</v>
      </c>
      <c r="G5" s="226">
        <f>'2001'!D18</f>
        <v>11.201166180758017</v>
      </c>
      <c r="H5" s="176">
        <f>'2002'!D18</f>
        <v>11.728813559322035</v>
      </c>
      <c r="I5" s="176">
        <f>'2003'!D18</f>
        <v>11.63517060367454</v>
      </c>
      <c r="J5" s="176">
        <f>'2004'!D18</f>
        <v>12.256345177664974</v>
      </c>
      <c r="K5" s="311">
        <f>'2005'!D17</f>
        <v>11.983253588516746</v>
      </c>
      <c r="L5" s="311">
        <f>'2006'!D17</f>
        <v>13.441025641025641</v>
      </c>
      <c r="M5" s="325">
        <f>'2007'!D26</f>
        <v>14.14945652173913</v>
      </c>
    </row>
    <row r="6" spans="1:13" ht="12.75">
      <c r="A6" s="265" t="s">
        <v>54</v>
      </c>
      <c r="B6" s="225">
        <f>'96,''97'!B20</f>
        <v>12</v>
      </c>
      <c r="C6" s="225">
        <f>'96,''97'!B40</f>
        <v>21</v>
      </c>
      <c r="D6" s="225">
        <f>'1998'!H18</f>
        <v>29</v>
      </c>
      <c r="E6" s="224">
        <f>'1999'!H18</f>
        <v>30.333333333333332</v>
      </c>
      <c r="F6" s="224">
        <f>'2000'!H18</f>
        <v>38</v>
      </c>
      <c r="G6" s="224">
        <f>'2001'!H18</f>
        <v>49</v>
      </c>
      <c r="H6" s="162">
        <f>'2002'!H18</f>
        <v>60</v>
      </c>
      <c r="I6" s="162">
        <f>'2003'!H18</f>
        <v>68</v>
      </c>
      <c r="J6" s="162">
        <f>'2004'!H18</f>
        <v>94</v>
      </c>
      <c r="K6" s="310">
        <f>'2005'!K26</f>
        <v>106</v>
      </c>
      <c r="L6" s="310">
        <f>'2006'!H17+'2006'!I17</f>
        <v>108</v>
      </c>
      <c r="M6" s="401">
        <f>'2007'!H26</f>
        <v>99</v>
      </c>
    </row>
    <row r="7" spans="1:13" ht="12.75">
      <c r="A7" s="265" t="s">
        <v>124</v>
      </c>
      <c r="B7" s="329">
        <v>0.03</v>
      </c>
      <c r="C7" s="329">
        <v>0.06</v>
      </c>
      <c r="D7" s="334">
        <f>'1998'!H19</f>
        <v>0.08262108262108261</v>
      </c>
      <c r="E7" s="334">
        <f>'1999'!H19</f>
        <v>0.07682566483748415</v>
      </c>
      <c r="F7" s="335">
        <v>0.106</v>
      </c>
      <c r="G7" s="335">
        <f>'2001'!H19</f>
        <v>0.14285714285714285</v>
      </c>
      <c r="H7" s="336">
        <f>'2002'!H19</f>
        <v>0.1694915254237288</v>
      </c>
      <c r="I7" s="337">
        <f>'2003'!H19</f>
        <v>0.1784776902887139</v>
      </c>
      <c r="J7" s="337">
        <f>'2004'!H19</f>
        <v>0.23857868020304568</v>
      </c>
      <c r="K7" s="338">
        <f>'2005'!K27</f>
        <v>0.2535885167464115</v>
      </c>
      <c r="L7" s="368">
        <f>'2006'!H18+'2006'!I18</f>
        <v>0.27692307692307694</v>
      </c>
      <c r="M7" s="403">
        <f>'2007'!H27</f>
        <v>0.26902173913043476</v>
      </c>
    </row>
    <row r="8" spans="1:13" ht="12.75">
      <c r="A8" s="409" t="s">
        <v>116</v>
      </c>
      <c r="B8" s="411"/>
      <c r="C8" s="412"/>
      <c r="D8" s="412"/>
      <c r="E8" s="412"/>
      <c r="F8" s="412"/>
      <c r="G8" s="412"/>
      <c r="H8" s="412"/>
      <c r="I8" s="412"/>
      <c r="J8" s="412"/>
      <c r="K8" s="413"/>
      <c r="L8" s="379">
        <f>'2006'!I17</f>
        <v>11</v>
      </c>
      <c r="M8" s="374">
        <f>'2007'!I26</f>
        <v>16</v>
      </c>
    </row>
    <row r="9" spans="1:13" ht="13.5" thickBot="1">
      <c r="A9" s="410" t="s">
        <v>125</v>
      </c>
      <c r="B9" s="414"/>
      <c r="C9" s="415"/>
      <c r="D9" s="415"/>
      <c r="E9" s="415"/>
      <c r="F9" s="415"/>
      <c r="G9" s="415"/>
      <c r="H9" s="415"/>
      <c r="I9" s="415"/>
      <c r="J9" s="415"/>
      <c r="K9" s="416"/>
      <c r="L9" s="406">
        <f>'2006'!I18</f>
        <v>0.028205128205128206</v>
      </c>
      <c r="M9" s="402">
        <f>'2007'!I27</f>
        <v>0.043478260869565216</v>
      </c>
    </row>
    <row r="10" ht="13.5" thickBot="1"/>
    <row r="11" spans="1:11" ht="12.75" customHeight="1">
      <c r="A11" s="467">
        <v>2007</v>
      </c>
      <c r="B11" s="356"/>
      <c r="C11" s="357"/>
      <c r="D11" s="362"/>
      <c r="E11" s="473" t="s">
        <v>31</v>
      </c>
      <c r="F11" s="474"/>
      <c r="G11" s="474"/>
      <c r="H11" s="474"/>
      <c r="I11" s="474"/>
      <c r="J11" s="318" t="s">
        <v>76</v>
      </c>
      <c r="K11" s="319"/>
    </row>
    <row r="12" spans="1:11" ht="12.75" customHeight="1">
      <c r="A12" s="468"/>
      <c r="B12" s="126" t="s">
        <v>93</v>
      </c>
      <c r="C12" s="116" t="s">
        <v>34</v>
      </c>
      <c r="D12" s="129" t="s">
        <v>35</v>
      </c>
      <c r="E12" s="331" t="s">
        <v>36</v>
      </c>
      <c r="F12" s="116" t="s">
        <v>37</v>
      </c>
      <c r="G12" s="116" t="s">
        <v>38</v>
      </c>
      <c r="H12" s="116" t="s">
        <v>113</v>
      </c>
      <c r="I12" s="317" t="s">
        <v>114</v>
      </c>
      <c r="J12" s="320" t="s">
        <v>97</v>
      </c>
      <c r="K12" s="321"/>
    </row>
    <row r="13" spans="1:11" ht="12.75" customHeight="1">
      <c r="A13" s="469"/>
      <c r="B13" s="126" t="s">
        <v>4</v>
      </c>
      <c r="C13" s="116" t="s">
        <v>95</v>
      </c>
      <c r="D13" s="129" t="s">
        <v>41</v>
      </c>
      <c r="E13" s="331" t="s">
        <v>41</v>
      </c>
      <c r="F13" s="116" t="s">
        <v>41</v>
      </c>
      <c r="G13" s="116" t="s">
        <v>41</v>
      </c>
      <c r="H13" s="116" t="s">
        <v>41</v>
      </c>
      <c r="I13" s="128" t="s">
        <v>41</v>
      </c>
      <c r="J13" s="126" t="s">
        <v>110</v>
      </c>
      <c r="K13" s="129" t="s">
        <v>43</v>
      </c>
    </row>
    <row r="14" spans="1:11" ht="12.75">
      <c r="A14" s="171" t="s">
        <v>11</v>
      </c>
      <c r="B14" s="363">
        <f>SUM(E14:I14)</f>
        <v>39</v>
      </c>
      <c r="C14" s="177">
        <f>1+11+12+19+20+3+10+16+22+22+22+26+3+4+4+5+7+12+17+21+27+4+8+10+11+19+25+30+1+1+1+2+3+7+15+17+20+21+24</f>
        <v>503</v>
      </c>
      <c r="D14" s="364">
        <f aca="true" t="shared" si="0" ref="D14:D23">IF(B14=0,0,C14/B14)</f>
        <v>12.897435897435898</v>
      </c>
      <c r="E14" s="354">
        <v>12</v>
      </c>
      <c r="F14" s="177">
        <v>5</v>
      </c>
      <c r="G14" s="177">
        <v>10</v>
      </c>
      <c r="H14" s="177">
        <v>11</v>
      </c>
      <c r="I14" s="328">
        <v>1</v>
      </c>
      <c r="J14" s="282">
        <f>(8+18+14+7+9)/5</f>
        <v>11.2</v>
      </c>
      <c r="K14" s="281">
        <f>(2+2+3+2+0)/5</f>
        <v>1.8</v>
      </c>
    </row>
    <row r="15" spans="1:11" ht="12.75">
      <c r="A15" s="170" t="s">
        <v>12</v>
      </c>
      <c r="B15" s="363">
        <f aca="true" t="shared" si="1" ref="B15:B25">SUM(E15:I15)</f>
        <v>31</v>
      </c>
      <c r="C15" s="116">
        <f>1+2+3+9+19+1+2+4+10+12+13+14+19+31+2+2+4+12+12+15+15+23+31+1+4+8+12+19+25+25+43</f>
        <v>393</v>
      </c>
      <c r="D15" s="281">
        <f t="shared" si="0"/>
        <v>12.67741935483871</v>
      </c>
      <c r="E15" s="331">
        <v>11</v>
      </c>
      <c r="F15" s="116">
        <v>3</v>
      </c>
      <c r="G15" s="116">
        <v>11</v>
      </c>
      <c r="H15" s="116">
        <v>3</v>
      </c>
      <c r="I15" s="353">
        <v>3</v>
      </c>
      <c r="J15" s="282">
        <f>(6+10+7+3)/4</f>
        <v>6.5</v>
      </c>
      <c r="K15" s="281">
        <f>(2+7+2+3)/4</f>
        <v>3.5</v>
      </c>
    </row>
    <row r="16" spans="1:11" ht="12.75">
      <c r="A16" s="170" t="s">
        <v>13</v>
      </c>
      <c r="B16" s="363">
        <f t="shared" si="1"/>
        <v>21</v>
      </c>
      <c r="C16" s="116">
        <f>2+15+16+20+26+10+17+27+30+1+2+7+13+18+21+27+2+2+7+13+24</f>
        <v>300</v>
      </c>
      <c r="D16" s="281">
        <f t="shared" si="0"/>
        <v>14.285714285714286</v>
      </c>
      <c r="E16" s="331">
        <v>5</v>
      </c>
      <c r="F16" s="116">
        <v>3</v>
      </c>
      <c r="G16" s="116">
        <v>6</v>
      </c>
      <c r="H16" s="116">
        <v>6</v>
      </c>
      <c r="I16" s="353">
        <v>1</v>
      </c>
      <c r="J16" s="282">
        <f>32/4</f>
        <v>8</v>
      </c>
      <c r="K16" s="281">
        <f>6/4</f>
        <v>1.5</v>
      </c>
    </row>
    <row r="17" spans="1:11" ht="12.75">
      <c r="A17" s="170" t="s">
        <v>14</v>
      </c>
      <c r="B17" s="363">
        <f t="shared" si="1"/>
        <v>35</v>
      </c>
      <c r="C17" s="116">
        <f>107+82+101+93</f>
        <v>383</v>
      </c>
      <c r="D17" s="281">
        <f t="shared" si="0"/>
        <v>10.942857142857143</v>
      </c>
      <c r="E17" s="331">
        <v>13</v>
      </c>
      <c r="F17" s="116">
        <v>6</v>
      </c>
      <c r="G17" s="116">
        <v>10</v>
      </c>
      <c r="H17" s="116">
        <v>6</v>
      </c>
      <c r="I17" s="353">
        <v>0</v>
      </c>
      <c r="J17" s="282">
        <f>(6+9+6+6)/4</f>
        <v>6.75</v>
      </c>
      <c r="K17" s="281">
        <f>(1+1+0+1)/4</f>
        <v>0.75</v>
      </c>
    </row>
    <row r="18" spans="1:11" ht="12.75">
      <c r="A18" s="170" t="s">
        <v>15</v>
      </c>
      <c r="B18" s="363">
        <f t="shared" si="1"/>
        <v>28</v>
      </c>
      <c r="C18" s="116">
        <f>124+74+67+31+77</f>
        <v>373</v>
      </c>
      <c r="D18" s="281">
        <f t="shared" si="0"/>
        <v>13.321428571428571</v>
      </c>
      <c r="E18" s="331">
        <v>10</v>
      </c>
      <c r="F18" s="116">
        <v>4</v>
      </c>
      <c r="G18" s="116">
        <v>9</v>
      </c>
      <c r="H18" s="116">
        <v>4</v>
      </c>
      <c r="I18" s="353">
        <v>1</v>
      </c>
      <c r="J18" s="282">
        <f>(6+19+7+11+7)/5</f>
        <v>10</v>
      </c>
      <c r="K18" s="281">
        <f>(12+3+1+4+1)/5</f>
        <v>4.2</v>
      </c>
    </row>
    <row r="19" spans="1:11" ht="12.75">
      <c r="A19" s="170" t="s">
        <v>16</v>
      </c>
      <c r="B19" s="363">
        <f t="shared" si="1"/>
        <v>39</v>
      </c>
      <c r="C19" s="116">
        <f>204+124+210+49</f>
        <v>587</v>
      </c>
      <c r="D19" s="281">
        <f t="shared" si="0"/>
        <v>15.051282051282051</v>
      </c>
      <c r="E19" s="331">
        <v>9</v>
      </c>
      <c r="F19" s="116">
        <v>4</v>
      </c>
      <c r="G19" s="116">
        <v>10</v>
      </c>
      <c r="H19" s="116">
        <v>15</v>
      </c>
      <c r="I19" s="353">
        <v>1</v>
      </c>
      <c r="J19" s="282">
        <f>(6+10+11+18)/4</f>
        <v>11.25</v>
      </c>
      <c r="K19" s="281">
        <f>(0+5+2+7)/4</f>
        <v>3.5</v>
      </c>
    </row>
    <row r="20" spans="1:11" ht="12.75">
      <c r="A20" s="170" t="s">
        <v>17</v>
      </c>
      <c r="B20" s="363">
        <f t="shared" si="1"/>
        <v>41</v>
      </c>
      <c r="C20" s="162">
        <f>56+93+173+124+114</f>
        <v>560</v>
      </c>
      <c r="D20" s="281">
        <f t="shared" si="0"/>
        <v>13.658536585365853</v>
      </c>
      <c r="E20" s="355">
        <v>11</v>
      </c>
      <c r="F20" s="162">
        <v>10</v>
      </c>
      <c r="G20" s="162">
        <v>10</v>
      </c>
      <c r="H20" s="162">
        <v>8</v>
      </c>
      <c r="I20" s="353">
        <v>2</v>
      </c>
      <c r="J20" s="282">
        <f>(11+5+8+6+13)/5</f>
        <v>8.6</v>
      </c>
      <c r="K20" s="281">
        <f>(4+4+1+2+3)/5</f>
        <v>2.8</v>
      </c>
    </row>
    <row r="21" spans="1:11" ht="12.75">
      <c r="A21" s="170" t="s">
        <v>18</v>
      </c>
      <c r="B21" s="363">
        <f t="shared" si="1"/>
        <v>17</v>
      </c>
      <c r="C21" s="116">
        <f>132+90+33+39</f>
        <v>294</v>
      </c>
      <c r="D21" s="281">
        <f t="shared" si="0"/>
        <v>17.294117647058822</v>
      </c>
      <c r="E21" s="331">
        <v>5</v>
      </c>
      <c r="F21" s="116">
        <v>2</v>
      </c>
      <c r="G21" s="116">
        <v>3</v>
      </c>
      <c r="H21" s="116">
        <v>5</v>
      </c>
      <c r="I21" s="353">
        <v>2</v>
      </c>
      <c r="J21" s="282">
        <f>(10+10+16+15)/4</f>
        <v>12.75</v>
      </c>
      <c r="K21" s="281">
        <f>(2+0+3+4)/4</f>
        <v>2.25</v>
      </c>
    </row>
    <row r="22" spans="1:11" ht="12.75">
      <c r="A22" s="170" t="s">
        <v>19</v>
      </c>
      <c r="B22" s="363">
        <f t="shared" si="1"/>
        <v>25</v>
      </c>
      <c r="C22" s="116">
        <f>58+118+72+109</f>
        <v>357</v>
      </c>
      <c r="D22" s="281">
        <f t="shared" si="0"/>
        <v>14.28</v>
      </c>
      <c r="E22" s="331">
        <v>6</v>
      </c>
      <c r="F22" s="116">
        <v>5</v>
      </c>
      <c r="G22" s="116">
        <v>5</v>
      </c>
      <c r="H22" s="116">
        <v>8</v>
      </c>
      <c r="I22" s="353">
        <v>1</v>
      </c>
      <c r="J22" s="282">
        <f>(8+4+7+9)/4</f>
        <v>7</v>
      </c>
      <c r="K22" s="281">
        <f>(4+5+2+2)/4</f>
        <v>3.25</v>
      </c>
    </row>
    <row r="23" spans="1:11" ht="12.75">
      <c r="A23" s="170" t="s">
        <v>20</v>
      </c>
      <c r="B23" s="363">
        <f t="shared" si="1"/>
        <v>33</v>
      </c>
      <c r="C23" s="162">
        <f>108+64+147+122+99</f>
        <v>540</v>
      </c>
      <c r="D23" s="281">
        <f t="shared" si="0"/>
        <v>16.363636363636363</v>
      </c>
      <c r="E23" s="331">
        <v>3</v>
      </c>
      <c r="F23" s="116">
        <v>5</v>
      </c>
      <c r="G23" s="116">
        <v>12</v>
      </c>
      <c r="H23" s="116">
        <v>11</v>
      </c>
      <c r="I23" s="353">
        <v>2</v>
      </c>
      <c r="J23" s="282">
        <f>(6+8+4+8+8)/5</f>
        <v>6.8</v>
      </c>
      <c r="K23" s="281">
        <f>(2+1+1+4+4)/5</f>
        <v>2.4</v>
      </c>
    </row>
    <row r="24" spans="1:11" ht="12.75">
      <c r="A24" s="170" t="s">
        <v>21</v>
      </c>
      <c r="B24" s="363">
        <f t="shared" si="1"/>
        <v>37</v>
      </c>
      <c r="C24" s="1">
        <f>118+195+175+117</f>
        <v>605</v>
      </c>
      <c r="D24" s="281">
        <f>IF(B24=0,0,C23/B24)</f>
        <v>14.594594594594595</v>
      </c>
      <c r="E24" s="331">
        <v>5</v>
      </c>
      <c r="F24" s="116">
        <v>4</v>
      </c>
      <c r="G24" s="116">
        <v>13</v>
      </c>
      <c r="H24" s="116">
        <v>14</v>
      </c>
      <c r="I24" s="353">
        <v>1</v>
      </c>
      <c r="J24" s="282">
        <f>(6+8+7+4)/4</f>
        <v>6.25</v>
      </c>
      <c r="K24" s="281">
        <f>(2+1)/4</f>
        <v>0.75</v>
      </c>
    </row>
    <row r="25" spans="1:12" ht="13.5" thickBot="1">
      <c r="A25" s="170" t="s">
        <v>22</v>
      </c>
      <c r="B25" s="131">
        <f t="shared" si="1"/>
        <v>22</v>
      </c>
      <c r="C25" s="118">
        <f>109+95+62+46</f>
        <v>312</v>
      </c>
      <c r="D25" s="392">
        <f>IF(B25=0,0,C25/B25)</f>
        <v>14.181818181818182</v>
      </c>
      <c r="E25" s="131">
        <v>6</v>
      </c>
      <c r="F25" s="118">
        <v>5</v>
      </c>
      <c r="G25" s="118">
        <v>2</v>
      </c>
      <c r="H25" s="118">
        <v>8</v>
      </c>
      <c r="I25" s="421">
        <v>1</v>
      </c>
      <c r="J25" s="282">
        <f>(4+3+1+1)/4</f>
        <v>2.25</v>
      </c>
      <c r="K25" s="281">
        <f>(1+4)/4</f>
        <v>1.25</v>
      </c>
      <c r="L25" s="266"/>
    </row>
    <row r="26" spans="1:11" ht="14.25" thickBot="1" thickTop="1">
      <c r="A26" s="420" t="s">
        <v>46</v>
      </c>
      <c r="B26" s="385">
        <f>SUM(B14:B25)</f>
        <v>368</v>
      </c>
      <c r="C26" s="386">
        <f>SUM(C14:C25)</f>
        <v>5207</v>
      </c>
      <c r="D26" s="387">
        <f>C26/B26</f>
        <v>14.14945652173913</v>
      </c>
      <c r="E26" s="388">
        <f>SUM(E14:E25)</f>
        <v>96</v>
      </c>
      <c r="F26" s="386">
        <f>SUM(F14:F25)</f>
        <v>56</v>
      </c>
      <c r="G26" s="386">
        <f>SUM(G14:G25)</f>
        <v>101</v>
      </c>
      <c r="H26" s="386">
        <f>SUM(H14:H25)</f>
        <v>99</v>
      </c>
      <c r="I26" s="389">
        <f>SUM(I14:I25)</f>
        <v>16</v>
      </c>
      <c r="J26" s="322" t="s">
        <v>90</v>
      </c>
      <c r="K26" s="323"/>
    </row>
    <row r="27" spans="1:11" ht="12.75">
      <c r="A27" s="475" t="s">
        <v>59</v>
      </c>
      <c r="B27" s="476"/>
      <c r="C27" s="476"/>
      <c r="D27" s="477"/>
      <c r="E27" s="390">
        <f>E26/$B$26</f>
        <v>0.2608695652173913</v>
      </c>
      <c r="F27" s="390">
        <f>F26/$B$26</f>
        <v>0.15217391304347827</v>
      </c>
      <c r="G27" s="390">
        <f>G26/$B$26</f>
        <v>0.27445652173913043</v>
      </c>
      <c r="H27" s="390">
        <f>H26/$B$26</f>
        <v>0.26902173913043476</v>
      </c>
      <c r="I27" s="422">
        <f>I26/$B$26</f>
        <v>0.043478260869565216</v>
      </c>
      <c r="J27" s="324">
        <f>SUM(J14:J25)/12</f>
        <v>8.1125</v>
      </c>
      <c r="K27" s="325">
        <f>SUM(K14:K25)/12</f>
        <v>2.3291666666666666</v>
      </c>
    </row>
    <row r="28" spans="1:11" ht="12.75">
      <c r="A28" s="470" t="s">
        <v>82</v>
      </c>
      <c r="B28" s="457"/>
      <c r="C28" s="457"/>
      <c r="D28" s="457"/>
      <c r="E28" s="471"/>
      <c r="F28" s="440">
        <f>SUM(F27:I27)</f>
        <v>0.7391304347826086</v>
      </c>
      <c r="G28" s="441"/>
      <c r="H28" s="441"/>
      <c r="I28" s="441"/>
      <c r="J28" s="326" t="s">
        <v>83</v>
      </c>
      <c r="K28" s="327"/>
    </row>
    <row r="29" spans="1:11" ht="12.75">
      <c r="A29" s="470" t="s">
        <v>84</v>
      </c>
      <c r="B29" s="457"/>
      <c r="C29" s="457"/>
      <c r="D29" s="471"/>
      <c r="E29" s="440">
        <f>SUM(E27:F27)</f>
        <v>0.41304347826086957</v>
      </c>
      <c r="F29" s="466"/>
      <c r="G29" s="440">
        <f>SUM(G27:I27)</f>
        <v>0.5869565217391304</v>
      </c>
      <c r="H29" s="441"/>
      <c r="I29" s="441"/>
      <c r="J29" s="464">
        <f>10+3+10+28+7+2+4+1+1+6+13+3+5+1+7+2+2+7+2+4+2+5+8+0+0+1+2+2</f>
        <v>138</v>
      </c>
      <c r="K29" s="465"/>
    </row>
    <row r="30" spans="1:11" ht="13.5" thickBot="1">
      <c r="A30" s="459" t="s">
        <v>122</v>
      </c>
      <c r="B30" s="460"/>
      <c r="C30" s="460"/>
      <c r="D30" s="460"/>
      <c r="E30" s="461">
        <f>SUM(E27:G27)</f>
        <v>0.6875</v>
      </c>
      <c r="F30" s="462"/>
      <c r="G30" s="462"/>
      <c r="H30" s="461">
        <f>SUM(H27:I27)</f>
        <v>0.3125</v>
      </c>
      <c r="I30" s="463"/>
      <c r="J30" s="423"/>
      <c r="K30" s="424"/>
    </row>
    <row r="31" spans="1:11" ht="12.75">
      <c r="A31" s="417"/>
      <c r="B31" s="418"/>
      <c r="C31" s="418"/>
      <c r="D31" s="418"/>
      <c r="E31" s="418"/>
      <c r="F31" s="418"/>
      <c r="G31" s="418"/>
      <c r="H31" s="418"/>
      <c r="I31" s="418"/>
      <c r="J31" s="25"/>
      <c r="K31" s="175"/>
    </row>
    <row r="32" spans="1:11" ht="15">
      <c r="A32" s="273" t="s">
        <v>94</v>
      </c>
      <c r="B32" s="122"/>
      <c r="C32" s="122"/>
      <c r="D32" s="122"/>
      <c r="E32" s="122"/>
      <c r="F32" s="122"/>
      <c r="G32" s="122"/>
      <c r="H32" s="122"/>
      <c r="I32" s="86"/>
      <c r="J32" s="86"/>
      <c r="K32" s="175"/>
    </row>
    <row r="33" spans="1:11" ht="12.75">
      <c r="A33" s="273" t="s">
        <v>99</v>
      </c>
      <c r="B33" s="122"/>
      <c r="C33" s="122"/>
      <c r="D33" s="122"/>
      <c r="E33" s="122"/>
      <c r="F33" s="122"/>
      <c r="G33" s="122"/>
      <c r="H33" s="122"/>
      <c r="I33" s="122"/>
      <c r="J33" s="122"/>
      <c r="K33" s="175"/>
    </row>
    <row r="34" spans="1:11" ht="12.75">
      <c r="A34" s="273" t="s">
        <v>98</v>
      </c>
      <c r="B34" s="122"/>
      <c r="C34" s="122"/>
      <c r="D34" s="122"/>
      <c r="E34" s="122"/>
      <c r="F34" s="122"/>
      <c r="G34" s="122"/>
      <c r="H34" s="122"/>
      <c r="I34" s="122"/>
      <c r="J34" s="122"/>
      <c r="K34" s="175"/>
    </row>
    <row r="35" spans="1:11" ht="12.75">
      <c r="A35" s="273" t="s">
        <v>89</v>
      </c>
      <c r="B35" s="122"/>
      <c r="C35" s="122"/>
      <c r="D35" s="122"/>
      <c r="E35" s="122"/>
      <c r="F35" s="122"/>
      <c r="G35" s="122"/>
      <c r="H35" s="122"/>
      <c r="I35" s="122"/>
      <c r="J35" s="122"/>
      <c r="K35" s="175"/>
    </row>
    <row r="36" spans="1:11" ht="12.75">
      <c r="A36" s="273" t="s">
        <v>119</v>
      </c>
      <c r="B36" s="122"/>
      <c r="C36" s="122"/>
      <c r="D36" s="122"/>
      <c r="E36" s="122"/>
      <c r="F36" s="122"/>
      <c r="G36" s="122"/>
      <c r="H36" s="122"/>
      <c r="I36" s="122"/>
      <c r="J36" s="122"/>
      <c r="K36" s="175"/>
    </row>
    <row r="37" spans="1:11" ht="12.75">
      <c r="A37" s="273" t="s">
        <v>118</v>
      </c>
      <c r="B37" s="122"/>
      <c r="C37" s="122"/>
      <c r="D37" s="122"/>
      <c r="E37" s="122"/>
      <c r="F37" s="122"/>
      <c r="G37" s="122"/>
      <c r="H37" s="122"/>
      <c r="I37" s="122"/>
      <c r="J37" s="122"/>
      <c r="K37" s="175"/>
    </row>
    <row r="38" spans="1:11" ht="12.75">
      <c r="A38" s="273" t="s">
        <v>103</v>
      </c>
      <c r="B38" s="25"/>
      <c r="C38" s="25"/>
      <c r="D38" s="25"/>
      <c r="E38" s="25"/>
      <c r="F38" s="25"/>
      <c r="G38" s="25"/>
      <c r="H38" s="25"/>
      <c r="I38" s="25"/>
      <c r="J38" s="25"/>
      <c r="K38" s="175"/>
    </row>
    <row r="39" spans="1:11" ht="12.75">
      <c r="A39" s="419" t="s">
        <v>101</v>
      </c>
      <c r="B39" s="25"/>
      <c r="C39" s="25"/>
      <c r="D39" s="25"/>
      <c r="E39" s="25"/>
      <c r="F39" s="25"/>
      <c r="G39" s="25"/>
      <c r="H39" s="25"/>
      <c r="I39" s="25"/>
      <c r="J39" s="25"/>
      <c r="K39" s="175"/>
    </row>
    <row r="40" spans="1:11" ht="12.75">
      <c r="A40" s="419" t="s">
        <v>121</v>
      </c>
      <c r="B40" s="25"/>
      <c r="C40" s="25"/>
      <c r="D40" s="25"/>
      <c r="E40" s="25"/>
      <c r="F40" s="25"/>
      <c r="G40" s="25"/>
      <c r="H40" s="25"/>
      <c r="I40" s="25"/>
      <c r="J40" s="25"/>
      <c r="K40" s="175"/>
    </row>
    <row r="41" spans="1:11" ht="13.5" thickBot="1">
      <c r="A41" s="274" t="s">
        <v>112</v>
      </c>
      <c r="B41" s="197"/>
      <c r="C41" s="197"/>
      <c r="D41" s="197"/>
      <c r="E41" s="197"/>
      <c r="F41" s="197"/>
      <c r="G41" s="197"/>
      <c r="H41" s="197"/>
      <c r="I41" s="197"/>
      <c r="J41" s="197"/>
      <c r="K41" s="206"/>
    </row>
  </sheetData>
  <mergeCells count="13">
    <mergeCell ref="A11:A13"/>
    <mergeCell ref="A28:E28"/>
    <mergeCell ref="A29:D29"/>
    <mergeCell ref="A1:M1"/>
    <mergeCell ref="F28:I28"/>
    <mergeCell ref="E11:I11"/>
    <mergeCell ref="A27:D27"/>
    <mergeCell ref="A30:D30"/>
    <mergeCell ref="E30:G30"/>
    <mergeCell ref="H30:I30"/>
    <mergeCell ref="J29:K29"/>
    <mergeCell ref="E29:F29"/>
    <mergeCell ref="G29:I29"/>
  </mergeCells>
  <printOptions horizontalCentered="1" verticalCentered="1"/>
  <pageMargins left="0.75" right="0.75" top="1" bottom="1" header="0.5" footer="0.5"/>
  <pageSetup fitToHeight="1" fitToWidth="1" orientation="landscape" scale="71" r:id="rId1"/>
  <headerFooter alignWithMargins="0">
    <oddHeader>&amp;C&amp;A</oddHeader>
    <oddFooter>&amp;CPrepared by Jim Steele &amp;D&amp;RPage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tabSelected="1" workbookViewId="0" topLeftCell="A14">
      <selection activeCell="M14" sqref="M14"/>
    </sheetView>
  </sheetViews>
  <sheetFormatPr defaultColWidth="9.140625" defaultRowHeight="12.75"/>
  <cols>
    <col min="1" max="1" width="41.00390625" style="0" customWidth="1"/>
    <col min="2" max="2" width="10.00390625" style="0" bestFit="1" customWidth="1"/>
    <col min="3" max="3" width="10.57421875" style="0" bestFit="1" customWidth="1"/>
    <col min="4" max="4" width="8.7109375" style="0" bestFit="1" customWidth="1"/>
    <col min="5" max="5" width="10.8515625" style="0" customWidth="1"/>
    <col min="6" max="6" width="10.28125" style="0" bestFit="1" customWidth="1"/>
    <col min="7" max="8" width="11.28125" style="0" bestFit="1" customWidth="1"/>
    <col min="9" max="9" width="10.57421875" style="0" bestFit="1" customWidth="1"/>
    <col min="10" max="10" width="11.00390625" style="0" customWidth="1"/>
    <col min="11" max="11" width="13.8515625" style="0" customWidth="1"/>
    <col min="12" max="12" width="9.28125" style="0" bestFit="1" customWidth="1"/>
    <col min="13" max="13" width="9.7109375" style="0" bestFit="1" customWidth="1"/>
  </cols>
  <sheetData>
    <row r="1" spans="1:13" ht="33.75" thickBot="1">
      <c r="A1" s="472" t="s">
        <v>30</v>
      </c>
      <c r="B1" s="435"/>
      <c r="C1" s="435"/>
      <c r="D1" s="435"/>
      <c r="E1" s="435"/>
      <c r="F1" s="435"/>
      <c r="G1" s="435"/>
      <c r="H1" s="435"/>
      <c r="I1" s="435"/>
      <c r="J1" s="435"/>
      <c r="K1" s="435"/>
      <c r="L1" s="435"/>
      <c r="M1" s="435"/>
    </row>
    <row r="2" spans="1:13" ht="15.75">
      <c r="A2" s="395" t="s">
        <v>87</v>
      </c>
      <c r="B2" s="292">
        <v>1996</v>
      </c>
      <c r="C2" s="292">
        <v>1997</v>
      </c>
      <c r="D2" s="292">
        <v>1998</v>
      </c>
      <c r="E2" s="292">
        <v>1999</v>
      </c>
      <c r="F2" s="292">
        <v>2000</v>
      </c>
      <c r="G2" s="292">
        <v>2001</v>
      </c>
      <c r="H2" s="292">
        <v>2002</v>
      </c>
      <c r="I2" s="292">
        <v>2003</v>
      </c>
      <c r="J2" s="292">
        <v>2004</v>
      </c>
      <c r="K2" s="396">
        <v>2005</v>
      </c>
      <c r="L2" s="396">
        <v>2006</v>
      </c>
      <c r="M2" s="400">
        <v>2007</v>
      </c>
    </row>
    <row r="3" spans="1:13" ht="12.75" customHeight="1">
      <c r="A3" s="265" t="s">
        <v>91</v>
      </c>
      <c r="B3" s="225">
        <v>355</v>
      </c>
      <c r="C3" s="225">
        <v>376</v>
      </c>
      <c r="D3" s="225">
        <f>'1998'!B18</f>
        <v>351</v>
      </c>
      <c r="E3" s="224">
        <f>'1999'!B18</f>
        <v>394.83333333333337</v>
      </c>
      <c r="F3" s="224">
        <f>'2000'!B18</f>
        <v>360</v>
      </c>
      <c r="G3" s="224">
        <f>'2001'!B18</f>
        <v>343</v>
      </c>
      <c r="H3" s="162">
        <f>'2002'!B18</f>
        <v>354</v>
      </c>
      <c r="I3" s="162">
        <f>'2003'!B18</f>
        <v>381</v>
      </c>
      <c r="J3" s="162">
        <f>'2004'!B18</f>
        <v>394</v>
      </c>
      <c r="K3" s="310">
        <f>'2005'!K23</f>
        <v>418</v>
      </c>
      <c r="L3" s="310">
        <f>'2006'!B17</f>
        <v>390</v>
      </c>
      <c r="M3" s="401">
        <f>'2007'!B26</f>
        <v>368</v>
      </c>
    </row>
    <row r="4" spans="1:13" ht="12.75" customHeight="1">
      <c r="A4" s="265" t="s">
        <v>92</v>
      </c>
      <c r="B4" s="222">
        <v>2930</v>
      </c>
      <c r="C4" s="222">
        <v>3248</v>
      </c>
      <c r="D4" s="222">
        <f>'1998'!C18</f>
        <v>3609</v>
      </c>
      <c r="E4" s="223">
        <f>'1999'!C18</f>
        <v>4015.1666666666665</v>
      </c>
      <c r="F4" s="224">
        <f>'2000'!C18</f>
        <v>3781</v>
      </c>
      <c r="G4" s="224">
        <f>'2001'!C18</f>
        <v>3842</v>
      </c>
      <c r="H4" s="162">
        <f>'2002'!C18</f>
        <v>4152</v>
      </c>
      <c r="I4" s="162">
        <f>'2003'!C18</f>
        <v>4433</v>
      </c>
      <c r="J4" s="162">
        <f>'2004'!C18</f>
        <v>4829</v>
      </c>
      <c r="K4" s="310">
        <f>'2005'!C17</f>
        <v>5009</v>
      </c>
      <c r="L4" s="310">
        <f>'2006'!C17</f>
        <v>5242</v>
      </c>
      <c r="M4" s="401">
        <f>'2007'!C26</f>
        <v>5207</v>
      </c>
    </row>
    <row r="5" spans="1:13" ht="12.75" customHeight="1">
      <c r="A5" s="265" t="s">
        <v>53</v>
      </c>
      <c r="B5" s="225">
        <v>8.3</v>
      </c>
      <c r="C5" s="225">
        <v>8.6</v>
      </c>
      <c r="D5" s="226">
        <f>'1998'!D18</f>
        <v>10.282051282051283</v>
      </c>
      <c r="E5" s="226">
        <f>'1999'!D18</f>
        <v>10.169269734065004</v>
      </c>
      <c r="F5" s="226">
        <f>'2000'!D18</f>
        <v>10.502777777777778</v>
      </c>
      <c r="G5" s="226">
        <f>'2001'!D18</f>
        <v>11.201166180758017</v>
      </c>
      <c r="H5" s="176">
        <f>'2002'!D18</f>
        <v>11.728813559322035</v>
      </c>
      <c r="I5" s="176">
        <f>'2003'!D18</f>
        <v>11.63517060367454</v>
      </c>
      <c r="J5" s="176">
        <f>'2004'!D18</f>
        <v>12.256345177664974</v>
      </c>
      <c r="K5" s="311">
        <f>'2005'!D17</f>
        <v>11.983253588516746</v>
      </c>
      <c r="L5" s="311">
        <f>'2006'!D17</f>
        <v>13.441025641025641</v>
      </c>
      <c r="M5" s="325">
        <f>'2007'!D26</f>
        <v>14.14945652173913</v>
      </c>
    </row>
    <row r="6" spans="1:13" ht="12.75">
      <c r="A6" s="265" t="s">
        <v>54</v>
      </c>
      <c r="B6" s="225">
        <f>'96,''97'!B20</f>
        <v>12</v>
      </c>
      <c r="C6" s="225">
        <f>'96,''97'!B40</f>
        <v>21</v>
      </c>
      <c r="D6" s="225">
        <f>'1998'!H18</f>
        <v>29</v>
      </c>
      <c r="E6" s="224">
        <f>'1999'!H18</f>
        <v>30.333333333333332</v>
      </c>
      <c r="F6" s="224">
        <f>'2000'!H18</f>
        <v>38</v>
      </c>
      <c r="G6" s="224">
        <f>'2001'!H18</f>
        <v>49</v>
      </c>
      <c r="H6" s="162">
        <f>'2002'!H18</f>
        <v>60</v>
      </c>
      <c r="I6" s="162">
        <f>'2003'!H18</f>
        <v>68</v>
      </c>
      <c r="J6" s="162">
        <f>'2004'!H18</f>
        <v>94</v>
      </c>
      <c r="K6" s="310">
        <f>'2005'!K26</f>
        <v>106</v>
      </c>
      <c r="L6" s="310">
        <f>'2006'!H17+'2006'!I17</f>
        <v>108</v>
      </c>
      <c r="M6" s="401">
        <f>'2007'!H26</f>
        <v>99</v>
      </c>
    </row>
    <row r="7" spans="1:13" ht="12.75">
      <c r="A7" s="265" t="s">
        <v>124</v>
      </c>
      <c r="B7" s="227">
        <v>0.03</v>
      </c>
      <c r="C7" s="227">
        <v>0.06</v>
      </c>
      <c r="D7" s="228">
        <f>'1998'!H19</f>
        <v>0.08262108262108261</v>
      </c>
      <c r="E7" s="228">
        <f>'1999'!H19</f>
        <v>0.07682566483748415</v>
      </c>
      <c r="F7" s="245">
        <v>0.106</v>
      </c>
      <c r="G7" s="245">
        <f>'2001'!H19</f>
        <v>0.14285714285714285</v>
      </c>
      <c r="H7" s="269">
        <f>'2002'!H19</f>
        <v>0.1694915254237288</v>
      </c>
      <c r="I7" s="280">
        <f>'2003'!H19</f>
        <v>0.1784776902887139</v>
      </c>
      <c r="J7" s="280">
        <f>'2004'!H19</f>
        <v>0.23857868020304568</v>
      </c>
      <c r="K7" s="312">
        <f>'2005'!K27</f>
        <v>0.2535885167464115</v>
      </c>
      <c r="L7" s="368">
        <f>'2006'!H18+'2006'!I18</f>
        <v>0.27692307692307694</v>
      </c>
      <c r="M7" s="403">
        <f>'2007'!H27</f>
        <v>0.26902173913043476</v>
      </c>
    </row>
    <row r="8" spans="1:13" ht="12.75">
      <c r="A8" s="404" t="s">
        <v>116</v>
      </c>
      <c r="B8" s="25"/>
      <c r="C8" s="25"/>
      <c r="D8" s="25"/>
      <c r="E8" s="25"/>
      <c r="F8" s="25"/>
      <c r="G8" s="25"/>
      <c r="H8" s="25"/>
      <c r="I8" s="25"/>
      <c r="J8" s="25"/>
      <c r="K8" s="25"/>
      <c r="L8" s="407">
        <f>'2006'!I17</f>
        <v>11</v>
      </c>
      <c r="M8" s="408">
        <f>'2007'!I26</f>
        <v>16</v>
      </c>
    </row>
    <row r="9" spans="1:13" ht="13.5" thickBot="1">
      <c r="A9" s="397" t="s">
        <v>123</v>
      </c>
      <c r="B9" s="405"/>
      <c r="C9" s="398"/>
      <c r="D9" s="398"/>
      <c r="E9" s="398"/>
      <c r="F9" s="398"/>
      <c r="G9" s="398"/>
      <c r="H9" s="398"/>
      <c r="I9" s="398"/>
      <c r="J9" s="398"/>
      <c r="K9" s="399"/>
      <c r="L9" s="406">
        <f>'2006'!I18</f>
        <v>0.028205128205128206</v>
      </c>
      <c r="M9" s="402">
        <f>'2007'!I27</f>
        <v>0.043478260869565216</v>
      </c>
    </row>
    <row r="10" spans="1:11" ht="12.75">
      <c r="A10" s="484" t="s">
        <v>126</v>
      </c>
      <c r="B10" s="356"/>
      <c r="C10" s="357"/>
      <c r="D10" s="362"/>
      <c r="E10" s="487" t="s">
        <v>31</v>
      </c>
      <c r="F10" s="488"/>
      <c r="G10" s="488"/>
      <c r="H10" s="488"/>
      <c r="I10" s="489"/>
      <c r="J10" s="318" t="s">
        <v>76</v>
      </c>
      <c r="K10" s="319"/>
    </row>
    <row r="11" spans="1:11" ht="12.75">
      <c r="A11" s="485"/>
      <c r="B11" s="126" t="s">
        <v>93</v>
      </c>
      <c r="C11" s="116" t="s">
        <v>34</v>
      </c>
      <c r="D11" s="129" t="s">
        <v>35</v>
      </c>
      <c r="E11" s="331" t="s">
        <v>36</v>
      </c>
      <c r="F11" s="116" t="s">
        <v>37</v>
      </c>
      <c r="G11" s="116" t="s">
        <v>38</v>
      </c>
      <c r="H11" s="116" t="s">
        <v>113</v>
      </c>
      <c r="I11" s="317" t="s">
        <v>114</v>
      </c>
      <c r="J11" s="320" t="s">
        <v>97</v>
      </c>
      <c r="K11" s="321"/>
    </row>
    <row r="12" spans="1:11" ht="12.75">
      <c r="A12" s="486"/>
      <c r="B12" s="126" t="s">
        <v>4</v>
      </c>
      <c r="C12" s="116" t="s">
        <v>95</v>
      </c>
      <c r="D12" s="129" t="s">
        <v>41</v>
      </c>
      <c r="E12" s="331" t="s">
        <v>127</v>
      </c>
      <c r="F12" s="116" t="s">
        <v>127</v>
      </c>
      <c r="G12" s="116" t="s">
        <v>41</v>
      </c>
      <c r="H12" s="116" t="s">
        <v>41</v>
      </c>
      <c r="I12" s="128" t="s">
        <v>41</v>
      </c>
      <c r="J12" s="126" t="s">
        <v>128</v>
      </c>
      <c r="K12" s="129" t="s">
        <v>43</v>
      </c>
    </row>
    <row r="13" spans="1:11" ht="12.75">
      <c r="A13" s="359" t="s">
        <v>11</v>
      </c>
      <c r="B13" s="363">
        <f>SUM(E13:I13)</f>
        <v>48</v>
      </c>
      <c r="C13" s="177">
        <f>1+1+1+1+1+2+3+4+5+6+16+17+18+20+22+25+2+4+5+8+11+12+12+31+1+4+6+7+8+9+21+22+28+1+1+4+9+17+17+23+23+26+27+5+12+23+24</f>
        <v>546</v>
      </c>
      <c r="D13" s="364">
        <f aca="true" t="shared" si="0" ref="D13:D22">IF(B13=0,0,C13/B13)</f>
        <v>11.375</v>
      </c>
      <c r="E13" s="354">
        <v>19</v>
      </c>
      <c r="F13" s="177">
        <v>7</v>
      </c>
      <c r="G13" s="177">
        <v>9</v>
      </c>
      <c r="H13" s="177">
        <v>12</v>
      </c>
      <c r="I13" s="328">
        <v>1</v>
      </c>
      <c r="J13" s="282">
        <f>(4+6+6+8+7)/5</f>
        <v>6.2</v>
      </c>
      <c r="K13" s="281">
        <f>(3+4+2)/5</f>
        <v>1.8</v>
      </c>
    </row>
    <row r="14" spans="1:11" ht="12.75">
      <c r="A14" s="360" t="s">
        <v>12</v>
      </c>
      <c r="B14" s="363">
        <f aca="true" t="shared" si="1" ref="B14:B24">SUM(E14:I14)</f>
        <v>30</v>
      </c>
      <c r="C14" s="116">
        <f>1+2+3+5+20+26+44+2+3+11+13+13+15+18+24+26+32+2+13+14+15+16+19+20+32+1+2+9+25+28</f>
        <v>454</v>
      </c>
      <c r="D14" s="281">
        <f t="shared" si="0"/>
        <v>15.133333333333333</v>
      </c>
      <c r="E14" s="331">
        <v>9</v>
      </c>
      <c r="F14" s="116">
        <v>1</v>
      </c>
      <c r="G14" s="116">
        <v>10</v>
      </c>
      <c r="H14" s="116">
        <v>7</v>
      </c>
      <c r="I14" s="353">
        <v>3</v>
      </c>
      <c r="J14" s="282">
        <f>(5+3+3+6)/4</f>
        <v>4.25</v>
      </c>
      <c r="K14" s="281">
        <f>(3+6+2)/4</f>
        <v>2.75</v>
      </c>
    </row>
    <row r="15" spans="1:11" ht="12.75">
      <c r="A15" s="360" t="s">
        <v>13</v>
      </c>
      <c r="B15" s="363">
        <f t="shared" si="1"/>
        <v>25</v>
      </c>
      <c r="C15" s="116">
        <f>1+3+3+14+20+1+1+3+4+5+19+22+1+6+8+18+24+28+3+5+14+17+21+27+31</f>
        <v>299</v>
      </c>
      <c r="D15" s="281">
        <f t="shared" si="0"/>
        <v>11.96</v>
      </c>
      <c r="E15" s="331">
        <v>12</v>
      </c>
      <c r="F15" s="116">
        <v>1</v>
      </c>
      <c r="G15" s="116">
        <v>5</v>
      </c>
      <c r="H15" s="116">
        <v>6</v>
      </c>
      <c r="I15" s="353">
        <v>1</v>
      </c>
      <c r="J15" s="282">
        <f>(2+2+6+2)/4</f>
        <v>3</v>
      </c>
      <c r="K15" s="281">
        <f>(1+2+2)/4</f>
        <v>1.25</v>
      </c>
    </row>
    <row r="16" spans="1:11" ht="12.75">
      <c r="A16" s="360" t="s">
        <v>14</v>
      </c>
      <c r="B16" s="363">
        <f t="shared" si="1"/>
        <v>36</v>
      </c>
      <c r="C16" s="116">
        <f>3+5+8+8+8+11+16+16+19+25+10+22+28+4+12+24+44+24+27+2+11+18+4+19+20+22+32</f>
        <v>442</v>
      </c>
      <c r="D16" s="281">
        <f t="shared" si="0"/>
        <v>12.277777777777779</v>
      </c>
      <c r="E16" s="331">
        <v>13</v>
      </c>
      <c r="F16" s="116">
        <v>5</v>
      </c>
      <c r="G16" s="116">
        <v>8</v>
      </c>
      <c r="H16" s="116">
        <v>9</v>
      </c>
      <c r="I16" s="353">
        <v>1</v>
      </c>
      <c r="J16" s="282">
        <f>(2+8+10+11+11)/5</f>
        <v>8.4</v>
      </c>
      <c r="K16" s="281">
        <f>(4+1+1+2+1)/5</f>
        <v>1.8</v>
      </c>
    </row>
    <row r="17" spans="1:11" ht="12.75">
      <c r="A17" s="360" t="s">
        <v>15</v>
      </c>
      <c r="B17" s="363">
        <f t="shared" si="1"/>
        <v>31</v>
      </c>
      <c r="C17" s="116">
        <f>1+2+3+14+18+19+22+22+5+10+10+15+15+20+25+1+1+2+3+3+3+5+9+10+15+26+37+10+17+22</f>
        <v>365</v>
      </c>
      <c r="D17" s="281">
        <f t="shared" si="0"/>
        <v>11.774193548387096</v>
      </c>
      <c r="E17" s="331">
        <v>12</v>
      </c>
      <c r="F17" s="116">
        <v>6</v>
      </c>
      <c r="G17" s="116">
        <v>7</v>
      </c>
      <c r="H17" s="116">
        <v>6</v>
      </c>
      <c r="I17" s="353">
        <v>0</v>
      </c>
      <c r="J17" s="282">
        <f>(8+5+5+5)/4</f>
        <v>5.75</v>
      </c>
      <c r="K17" s="281">
        <f>(1+1+1)/4</f>
        <v>0.75</v>
      </c>
    </row>
    <row r="18" spans="1:11" ht="12.75">
      <c r="A18" s="360" t="s">
        <v>16</v>
      </c>
      <c r="B18" s="363">
        <f t="shared" si="1"/>
        <v>32</v>
      </c>
      <c r="C18" s="116">
        <f>12+16+18+21+27+28+1+2+3+5+6+14+17+19+23+23+25+26+5+13+15+17+24+26+32+1+2+4+9+11+11+19+19</f>
        <v>494</v>
      </c>
      <c r="D18" s="281">
        <f t="shared" si="0"/>
        <v>15.4375</v>
      </c>
      <c r="E18" s="331">
        <v>7</v>
      </c>
      <c r="F18" s="116">
        <v>2</v>
      </c>
      <c r="G18" s="116">
        <v>13</v>
      </c>
      <c r="H18" s="116">
        <v>9</v>
      </c>
      <c r="I18" s="353">
        <v>1</v>
      </c>
      <c r="J18" s="282">
        <f>(7+7+7+3)/4</f>
        <v>6</v>
      </c>
      <c r="K18" s="425">
        <f>1/4</f>
        <v>0.25</v>
      </c>
    </row>
    <row r="19" spans="1:11" ht="12.75">
      <c r="A19" s="360" t="s">
        <v>17</v>
      </c>
      <c r="B19" s="363">
        <f t="shared" si="1"/>
        <v>51</v>
      </c>
      <c r="C19" s="162">
        <f>2+8+9+9+11+19+23+24+33+35+8+10+16+18+19+20+24+24+5+4+7+9+11+11+16+16+17+18+25+1+7+13+20+20+22+25+27+30+1+2+3+3+5+9+13+21+23</f>
        <v>696</v>
      </c>
      <c r="D19" s="281">
        <f t="shared" si="0"/>
        <v>13.647058823529411</v>
      </c>
      <c r="E19" s="355">
        <v>14</v>
      </c>
      <c r="F19" s="162">
        <v>8</v>
      </c>
      <c r="G19" s="162">
        <v>13</v>
      </c>
      <c r="H19" s="162">
        <v>13</v>
      </c>
      <c r="I19" s="353">
        <v>3</v>
      </c>
      <c r="J19" s="282">
        <f>(6+6+5+5+2)/5</f>
        <v>4.8</v>
      </c>
      <c r="K19" s="281">
        <f>(1+4+2+1)/5</f>
        <v>1.6</v>
      </c>
    </row>
    <row r="20" spans="1:11" ht="12.75">
      <c r="A20" s="360" t="s">
        <v>18</v>
      </c>
      <c r="B20" s="363">
        <f t="shared" si="1"/>
        <v>29</v>
      </c>
      <c r="C20" s="116">
        <f>1+10+11+1+2+5+9+22+24+1+1+2+8+19+27+27+31+1+2+5+9+22+24+8+19+27+27+31</f>
        <v>376</v>
      </c>
      <c r="D20" s="281">
        <f t="shared" si="0"/>
        <v>12.96551724137931</v>
      </c>
      <c r="E20" s="331">
        <v>9</v>
      </c>
      <c r="F20" s="116">
        <v>7</v>
      </c>
      <c r="G20" s="116">
        <v>4</v>
      </c>
      <c r="H20" s="116">
        <v>7</v>
      </c>
      <c r="I20" s="353">
        <v>2</v>
      </c>
      <c r="J20" s="282">
        <f>(6+6+5+5+2)/5</f>
        <v>4.8</v>
      </c>
      <c r="K20" s="281">
        <f>(1+4+2+1)/5</f>
        <v>1.6</v>
      </c>
    </row>
    <row r="21" spans="1:11" ht="12.75">
      <c r="A21" s="360" t="s">
        <v>19</v>
      </c>
      <c r="B21" s="363">
        <f t="shared" si="1"/>
        <v>27</v>
      </c>
      <c r="C21" s="116">
        <f>7+10+13+15+21+24+28+6+10+30+17+43+2+3+7+12+12+23+24+23+23+6+7+17+19+20+25</f>
        <v>447</v>
      </c>
      <c r="D21" s="281">
        <f t="shared" si="0"/>
        <v>16.555555555555557</v>
      </c>
      <c r="E21" s="331">
        <v>2</v>
      </c>
      <c r="F21" s="116">
        <v>7</v>
      </c>
      <c r="G21" s="116">
        <v>7</v>
      </c>
      <c r="H21" s="116">
        <v>9</v>
      </c>
      <c r="I21" s="353">
        <v>2</v>
      </c>
      <c r="J21" s="282">
        <f>31/5</f>
        <v>6.2</v>
      </c>
      <c r="K21" s="281">
        <v>1</v>
      </c>
    </row>
    <row r="22" spans="1:11" ht="12.75">
      <c r="A22" s="360" t="s">
        <v>20</v>
      </c>
      <c r="B22" s="363">
        <f t="shared" si="1"/>
        <v>23</v>
      </c>
      <c r="C22" s="162">
        <f>12+20+10+11+13+15+19+21+22+27+12+15+23+25+27+29+30+3+8+10+12+22+32</f>
        <v>418</v>
      </c>
      <c r="D22" s="281">
        <f t="shared" si="0"/>
        <v>18.17391304347826</v>
      </c>
      <c r="E22" s="331">
        <v>1</v>
      </c>
      <c r="F22" s="116">
        <v>3</v>
      </c>
      <c r="G22" s="116">
        <v>8</v>
      </c>
      <c r="H22" s="116">
        <v>9</v>
      </c>
      <c r="I22" s="353">
        <v>2</v>
      </c>
      <c r="J22" s="282">
        <f>17/4</f>
        <v>4.25</v>
      </c>
      <c r="K22" s="281">
        <f>4/4</f>
        <v>1</v>
      </c>
    </row>
    <row r="23" spans="1:11" ht="12.75">
      <c r="A23" s="360" t="s">
        <v>21</v>
      </c>
      <c r="B23" s="363">
        <f t="shared" si="1"/>
        <v>32</v>
      </c>
      <c r="C23" s="266">
        <f>3+3+11+12+15+24+25+26+29+1+18+25+31+1+2+2+9+17+18+20+22+23+23+26+1+1+6+11+15+18+24+26+27</f>
        <v>515</v>
      </c>
      <c r="D23" s="281">
        <f>IF(B23=0,0,C22/B23)</f>
        <v>13.0625</v>
      </c>
      <c r="E23" s="331">
        <v>8</v>
      </c>
      <c r="F23" s="116">
        <v>2</v>
      </c>
      <c r="G23" s="116">
        <v>9</v>
      </c>
      <c r="H23" s="116">
        <v>12</v>
      </c>
      <c r="I23" s="353">
        <v>1</v>
      </c>
      <c r="J23" s="282">
        <f>28/4</f>
        <v>7</v>
      </c>
      <c r="K23" s="281">
        <f>9/4</f>
        <v>2.25</v>
      </c>
    </row>
    <row r="24" spans="1:11" ht="13.5" thickBot="1">
      <c r="A24" s="360" t="s">
        <v>22</v>
      </c>
      <c r="B24" s="131">
        <f t="shared" si="1"/>
        <v>0</v>
      </c>
      <c r="C24" s="118"/>
      <c r="D24" s="392">
        <f>IF(B24=0,0,C24/B24)</f>
        <v>0</v>
      </c>
      <c r="E24" s="131"/>
      <c r="F24" s="118"/>
      <c r="G24" s="118"/>
      <c r="H24" s="118"/>
      <c r="I24" s="367"/>
      <c r="J24" s="282"/>
      <c r="K24" s="281"/>
    </row>
    <row r="25" spans="1:11" ht="14.25" thickBot="1" thickTop="1">
      <c r="A25" s="384" t="s">
        <v>46</v>
      </c>
      <c r="B25" s="385">
        <f>SUM(B13:B24)</f>
        <v>364</v>
      </c>
      <c r="C25" s="386">
        <f>SUM(C13:C24)</f>
        <v>5052</v>
      </c>
      <c r="D25" s="387">
        <f>C25/B25</f>
        <v>13.87912087912088</v>
      </c>
      <c r="E25" s="388">
        <f>SUM(E13:E24)</f>
        <v>106</v>
      </c>
      <c r="F25" s="386">
        <f>SUM(F13:F24)</f>
        <v>49</v>
      </c>
      <c r="G25" s="386">
        <f>SUM(G13:G24)</f>
        <v>93</v>
      </c>
      <c r="H25" s="386">
        <f>SUM(H13:H24)</f>
        <v>99</v>
      </c>
      <c r="I25" s="389">
        <f>SUM(I13:I24)</f>
        <v>17</v>
      </c>
      <c r="J25" s="322" t="s">
        <v>90</v>
      </c>
      <c r="K25" s="323"/>
    </row>
    <row r="26" spans="1:11" ht="12.75">
      <c r="A26" s="475" t="s">
        <v>59</v>
      </c>
      <c r="B26" s="476"/>
      <c r="C26" s="476"/>
      <c r="D26" s="477"/>
      <c r="E26" s="390">
        <f>E25/$B$25</f>
        <v>0.29120879120879123</v>
      </c>
      <c r="F26" s="390">
        <f>F25/$B$25</f>
        <v>0.1346153846153846</v>
      </c>
      <c r="G26" s="390">
        <f>G25/$B$25</f>
        <v>0.2554945054945055</v>
      </c>
      <c r="H26" s="390">
        <f>H25/$B$25</f>
        <v>0.27197802197802196</v>
      </c>
      <c r="I26" s="426">
        <f>I25/$B$25</f>
        <v>0.046703296703296704</v>
      </c>
      <c r="J26" s="382">
        <f>SUM(J13:J24)/6</f>
        <v>10.108333333333333</v>
      </c>
      <c r="K26" s="325">
        <f>SUM(K13:K24)/6</f>
        <v>2.6749999999999994</v>
      </c>
    </row>
    <row r="27" spans="1:11" ht="12.75">
      <c r="A27" s="470" t="s">
        <v>82</v>
      </c>
      <c r="B27" s="457"/>
      <c r="C27" s="457"/>
      <c r="D27" s="457"/>
      <c r="E27" s="471"/>
      <c r="F27" s="440">
        <f>SUM(F26:I26)</f>
        <v>0.7087912087912087</v>
      </c>
      <c r="G27" s="441"/>
      <c r="H27" s="441"/>
      <c r="I27" s="442"/>
      <c r="J27" s="383" t="s">
        <v>83</v>
      </c>
      <c r="K27" s="327"/>
    </row>
    <row r="28" spans="1:11" ht="13.5" thickBot="1">
      <c r="A28" s="391" t="s">
        <v>84</v>
      </c>
      <c r="B28" s="316"/>
      <c r="C28" s="316"/>
      <c r="D28" s="316"/>
      <c r="E28" s="440">
        <f>SUM(E26:F26)</f>
        <v>0.42582417582417587</v>
      </c>
      <c r="F28" s="466"/>
      <c r="G28" s="440">
        <f>SUM(G26:I26)</f>
        <v>0.5741758241758241</v>
      </c>
      <c r="H28" s="441"/>
      <c r="I28" s="442"/>
      <c r="J28" s="478">
        <v>54</v>
      </c>
      <c r="K28" s="432"/>
    </row>
    <row r="29" spans="1:11" ht="13.5" thickBot="1">
      <c r="A29" s="479" t="s">
        <v>122</v>
      </c>
      <c r="B29" s="480"/>
      <c r="C29" s="480"/>
      <c r="D29" s="480"/>
      <c r="E29" s="481">
        <f>SUM(E26:G26)</f>
        <v>0.6813186813186813</v>
      </c>
      <c r="F29" s="482"/>
      <c r="G29" s="482"/>
      <c r="H29" s="481">
        <f>SUM(H26:I26)</f>
        <v>0.31868131868131866</v>
      </c>
      <c r="I29" s="483"/>
      <c r="J29" s="380"/>
      <c r="K29" s="381"/>
    </row>
    <row r="31" spans="1:11" ht="15">
      <c r="A31" s="343" t="s">
        <v>94</v>
      </c>
      <c r="B31" s="122"/>
      <c r="C31" s="122"/>
      <c r="D31" s="122"/>
      <c r="E31" s="122"/>
      <c r="F31" s="122"/>
      <c r="G31" s="122"/>
      <c r="H31" s="122"/>
      <c r="I31" s="86"/>
      <c r="J31" s="86"/>
      <c r="K31" s="344"/>
    </row>
    <row r="32" spans="1:11" ht="12.75">
      <c r="A32" s="343" t="s">
        <v>99</v>
      </c>
      <c r="B32" s="122"/>
      <c r="C32" s="122"/>
      <c r="D32" s="122"/>
      <c r="E32" s="122"/>
      <c r="F32" s="122"/>
      <c r="G32" s="122"/>
      <c r="H32" s="122"/>
      <c r="I32" s="122"/>
      <c r="J32" s="122"/>
      <c r="K32" s="344"/>
    </row>
    <row r="33" spans="1:11" ht="12.75">
      <c r="A33" s="343" t="s">
        <v>98</v>
      </c>
      <c r="B33" s="122"/>
      <c r="C33" s="122"/>
      <c r="D33" s="122"/>
      <c r="E33" s="122"/>
      <c r="F33" s="122"/>
      <c r="G33" s="122"/>
      <c r="H33" s="122"/>
      <c r="I33" s="122"/>
      <c r="J33" s="122"/>
      <c r="K33" s="344"/>
    </row>
    <row r="34" spans="1:11" ht="12.75">
      <c r="A34" s="343" t="s">
        <v>89</v>
      </c>
      <c r="B34" s="122"/>
      <c r="C34" s="122"/>
      <c r="D34" s="122"/>
      <c r="E34" s="122"/>
      <c r="F34" s="122"/>
      <c r="G34" s="122"/>
      <c r="H34" s="122"/>
      <c r="I34" s="122"/>
      <c r="J34" s="122"/>
      <c r="K34" s="344"/>
    </row>
    <row r="35" spans="1:11" ht="12.75">
      <c r="A35" s="343" t="s">
        <v>119</v>
      </c>
      <c r="B35" s="122"/>
      <c r="C35" s="122"/>
      <c r="D35" s="122"/>
      <c r="E35" s="122"/>
      <c r="F35" s="122"/>
      <c r="G35" s="122"/>
      <c r="H35" s="122"/>
      <c r="I35" s="122"/>
      <c r="J35" s="122"/>
      <c r="K35" s="344"/>
    </row>
    <row r="36" spans="1:11" ht="12.75">
      <c r="A36" s="343" t="s">
        <v>130</v>
      </c>
      <c r="B36" s="122"/>
      <c r="C36" s="122"/>
      <c r="D36" s="122"/>
      <c r="E36" s="122"/>
      <c r="F36" s="122"/>
      <c r="G36" s="122"/>
      <c r="H36" s="122"/>
      <c r="I36" s="122"/>
      <c r="J36" s="122"/>
      <c r="K36" s="344"/>
    </row>
    <row r="37" spans="1:11" ht="12.75">
      <c r="A37" s="343" t="s">
        <v>129</v>
      </c>
      <c r="B37" s="122"/>
      <c r="C37" s="122"/>
      <c r="D37" s="122"/>
      <c r="E37" s="122"/>
      <c r="F37" s="122"/>
      <c r="G37" s="122"/>
      <c r="H37" s="122"/>
      <c r="I37" s="122"/>
      <c r="J37" s="122"/>
      <c r="K37" s="344"/>
    </row>
    <row r="38" spans="1:11" ht="12.75">
      <c r="A38" s="343" t="s">
        <v>103</v>
      </c>
      <c r="B38" s="25"/>
      <c r="C38" s="25"/>
      <c r="D38" s="25"/>
      <c r="E38" s="25"/>
      <c r="F38" s="25"/>
      <c r="G38" s="25"/>
      <c r="H38" s="25"/>
      <c r="I38" s="25"/>
      <c r="J38" s="25"/>
      <c r="K38" s="344"/>
    </row>
    <row r="39" spans="1:11" ht="12.75">
      <c r="A39" s="393" t="s">
        <v>101</v>
      </c>
      <c r="B39" s="25"/>
      <c r="C39" s="25"/>
      <c r="D39" s="25"/>
      <c r="E39" s="25"/>
      <c r="F39" s="25"/>
      <c r="G39" s="25"/>
      <c r="H39" s="25"/>
      <c r="I39" s="25"/>
      <c r="J39" s="25"/>
      <c r="K39" s="344"/>
    </row>
    <row r="40" spans="1:11" ht="12.75">
      <c r="A40" s="393" t="s">
        <v>121</v>
      </c>
      <c r="B40" s="25"/>
      <c r="C40" s="25"/>
      <c r="D40" s="25"/>
      <c r="E40" s="25"/>
      <c r="F40" s="25"/>
      <c r="G40" s="25"/>
      <c r="H40" s="25"/>
      <c r="I40" s="25"/>
      <c r="J40" s="25"/>
      <c r="K40" s="344"/>
    </row>
    <row r="41" spans="1:11" ht="12.75">
      <c r="A41" s="394" t="s">
        <v>112</v>
      </c>
      <c r="B41" s="348"/>
      <c r="C41" s="348"/>
      <c r="D41" s="348"/>
      <c r="E41" s="348"/>
      <c r="F41" s="348"/>
      <c r="G41" s="348"/>
      <c r="H41" s="348"/>
      <c r="I41" s="348"/>
      <c r="J41" s="348"/>
      <c r="K41" s="349"/>
    </row>
  </sheetData>
  <mergeCells count="12">
    <mergeCell ref="A1:M1"/>
    <mergeCell ref="A10:A12"/>
    <mergeCell ref="E10:I10"/>
    <mergeCell ref="A26:D26"/>
    <mergeCell ref="A27:E27"/>
    <mergeCell ref="F27:I27"/>
    <mergeCell ref="E28:F28"/>
    <mergeCell ref="G28:I28"/>
    <mergeCell ref="J28:K28"/>
    <mergeCell ref="A29:D29"/>
    <mergeCell ref="E29:G29"/>
    <mergeCell ref="H29:I29"/>
  </mergeCells>
  <printOptions/>
  <pageMargins left="0.75" right="0.75" top="1" bottom="1" header="0.5" footer="0.5"/>
  <pageSetup fitToHeight="1" fitToWidth="1" orientation="landscape" scale="73" r:id="rId1"/>
  <headerFooter alignWithMargins="0">
    <oddFooter>&amp;CPrepared by Jim Steele &amp;D&amp;RPage &amp;P</oddFooter>
  </headerFooter>
</worksheet>
</file>

<file path=xl/worksheets/sheet2.xml><?xml version="1.0" encoding="utf-8"?>
<worksheet xmlns="http://schemas.openxmlformats.org/spreadsheetml/2006/main" xmlns:r="http://schemas.openxmlformats.org/officeDocument/2006/relationships">
  <dimension ref="A1:K39"/>
  <sheetViews>
    <sheetView zoomScale="75" zoomScaleNormal="75" workbookViewId="0" topLeftCell="A2">
      <selection activeCell="D51" sqref="D51"/>
    </sheetView>
  </sheetViews>
  <sheetFormatPr defaultColWidth="9.140625" defaultRowHeight="12.75"/>
  <cols>
    <col min="1" max="1" width="26.57421875" style="0" customWidth="1"/>
    <col min="2" max="3" width="9.7109375" style="0" customWidth="1"/>
    <col min="4" max="4" width="8.140625" style="0" customWidth="1"/>
    <col min="5" max="6" width="8.7109375" style="0" customWidth="1"/>
    <col min="7" max="7" width="9.00390625" style="0" customWidth="1"/>
    <col min="8" max="8" width="7.57421875" style="0" customWidth="1"/>
    <col min="9" max="9" width="8.8515625" style="0" customWidth="1"/>
    <col min="10" max="10" width="7.8515625" style="0" customWidth="1"/>
    <col min="11" max="11" width="9.57421875" style="0" customWidth="1"/>
  </cols>
  <sheetData>
    <row r="1" spans="1:10" ht="33">
      <c r="A1" s="40" t="s">
        <v>30</v>
      </c>
      <c r="B1" s="41"/>
      <c r="C1" s="41"/>
      <c r="D1" s="41"/>
      <c r="E1" s="41"/>
      <c r="F1" s="41"/>
      <c r="G1" s="41"/>
      <c r="H1" s="41"/>
      <c r="I1" s="41"/>
      <c r="J1" s="42"/>
    </row>
    <row r="2" spans="1:10" ht="13.5" thickBot="1">
      <c r="A2" s="43"/>
      <c r="B2" s="44"/>
      <c r="C2" s="44"/>
      <c r="D2" s="44"/>
      <c r="E2" s="44"/>
      <c r="F2" s="44"/>
      <c r="G2" s="44"/>
      <c r="H2" s="44"/>
      <c r="I2" s="44"/>
      <c r="J2" s="45"/>
    </row>
    <row r="3" spans="1:10" s="31" customFormat="1" ht="13.5" customHeight="1" thickBot="1">
      <c r="A3" s="92"/>
      <c r="B3" s="93"/>
      <c r="C3" s="93"/>
      <c r="D3" s="93"/>
      <c r="E3" s="94" t="s">
        <v>31</v>
      </c>
      <c r="F3" s="95"/>
      <c r="G3" s="95"/>
      <c r="H3" s="96"/>
      <c r="I3" s="109" t="s">
        <v>32</v>
      </c>
      <c r="J3" s="110"/>
    </row>
    <row r="4" spans="1:10" s="31" customFormat="1" ht="11.25">
      <c r="A4" s="46"/>
      <c r="B4" s="4" t="s">
        <v>33</v>
      </c>
      <c r="C4" s="4" t="s">
        <v>34</v>
      </c>
      <c r="D4" s="4" t="s">
        <v>35</v>
      </c>
      <c r="E4" s="3" t="s">
        <v>36</v>
      </c>
      <c r="F4" s="36" t="s">
        <v>37</v>
      </c>
      <c r="G4" s="3" t="s">
        <v>38</v>
      </c>
      <c r="H4" s="37" t="s">
        <v>39</v>
      </c>
      <c r="I4" s="108"/>
      <c r="J4" s="111"/>
    </row>
    <row r="5" spans="1:10" s="31" customFormat="1" ht="12.75">
      <c r="A5" s="97">
        <v>1998</v>
      </c>
      <c r="B5" s="4" t="s">
        <v>4</v>
      </c>
      <c r="C5" s="4" t="s">
        <v>40</v>
      </c>
      <c r="D5" s="4" t="s">
        <v>41</v>
      </c>
      <c r="E5" s="3" t="s">
        <v>41</v>
      </c>
      <c r="F5" s="36" t="s">
        <v>41</v>
      </c>
      <c r="G5" s="3" t="s">
        <v>41</v>
      </c>
      <c r="H5" s="37" t="s">
        <v>41</v>
      </c>
      <c r="I5" s="38" t="s">
        <v>42</v>
      </c>
      <c r="J5" s="39" t="s">
        <v>43</v>
      </c>
    </row>
    <row r="6" spans="1:10" s="31" customFormat="1" ht="15">
      <c r="A6" s="49" t="s">
        <v>11</v>
      </c>
      <c r="B6" s="50">
        <f>SUM(E6:H6)</f>
        <v>30</v>
      </c>
      <c r="C6" s="50">
        <v>377</v>
      </c>
      <c r="D6" s="51">
        <f aca="true" t="shared" si="0" ref="D6:D16">IF(B6=0,0,C6/B6)</f>
        <v>12.566666666666666</v>
      </c>
      <c r="E6" s="52">
        <v>3</v>
      </c>
      <c r="F6" s="53">
        <v>7</v>
      </c>
      <c r="G6" s="52">
        <v>16</v>
      </c>
      <c r="H6" s="54">
        <v>4</v>
      </c>
      <c r="I6" s="55">
        <v>23</v>
      </c>
      <c r="J6" s="56">
        <v>10</v>
      </c>
    </row>
    <row r="7" spans="1:10" s="31" customFormat="1" ht="15">
      <c r="A7" s="57" t="s">
        <v>12</v>
      </c>
      <c r="B7" s="50">
        <f aca="true" t="shared" si="1" ref="B7:B16">SUM(E7:H7)</f>
        <v>30</v>
      </c>
      <c r="C7" s="50">
        <v>330</v>
      </c>
      <c r="D7" s="51">
        <f t="shared" si="0"/>
        <v>11</v>
      </c>
      <c r="E7" s="58">
        <v>8</v>
      </c>
      <c r="F7" s="59">
        <v>7</v>
      </c>
      <c r="G7" s="58">
        <v>12</v>
      </c>
      <c r="H7" s="60">
        <v>3</v>
      </c>
      <c r="I7" s="55">
        <v>21</v>
      </c>
      <c r="J7" s="56">
        <v>12</v>
      </c>
    </row>
    <row r="8" spans="1:10" s="31" customFormat="1" ht="15">
      <c r="A8" s="49" t="s">
        <v>44</v>
      </c>
      <c r="B8" s="50">
        <f>SUM(E8:H8)</f>
        <v>29</v>
      </c>
      <c r="C8" s="50">
        <v>354</v>
      </c>
      <c r="D8" s="51">
        <f t="shared" si="0"/>
        <v>12.206896551724139</v>
      </c>
      <c r="E8" s="52">
        <v>11</v>
      </c>
      <c r="F8" s="53">
        <v>8</v>
      </c>
      <c r="G8" s="52">
        <v>8</v>
      </c>
      <c r="H8" s="54">
        <v>2</v>
      </c>
      <c r="I8" s="55">
        <v>26</v>
      </c>
      <c r="J8" s="56">
        <v>8</v>
      </c>
    </row>
    <row r="9" spans="1:10" s="31" customFormat="1" ht="15">
      <c r="A9" s="61" t="s">
        <v>45</v>
      </c>
      <c r="B9" s="50">
        <f t="shared" si="1"/>
        <v>26</v>
      </c>
      <c r="C9" s="50">
        <v>351</v>
      </c>
      <c r="D9" s="51">
        <f t="shared" si="0"/>
        <v>13.5</v>
      </c>
      <c r="E9" s="58">
        <v>7</v>
      </c>
      <c r="F9" s="59">
        <v>4</v>
      </c>
      <c r="G9" s="58">
        <v>12</v>
      </c>
      <c r="H9" s="60">
        <v>3</v>
      </c>
      <c r="I9" s="55">
        <v>21</v>
      </c>
      <c r="J9" s="56">
        <v>7</v>
      </c>
    </row>
    <row r="10" spans="1:10" s="31" customFormat="1" ht="15">
      <c r="A10" s="49" t="s">
        <v>15</v>
      </c>
      <c r="B10" s="50">
        <f t="shared" si="1"/>
        <v>19</v>
      </c>
      <c r="C10" s="50">
        <v>186</v>
      </c>
      <c r="D10" s="51">
        <f t="shared" si="0"/>
        <v>9.789473684210526</v>
      </c>
      <c r="E10" s="52">
        <v>5</v>
      </c>
      <c r="F10" s="53">
        <v>10</v>
      </c>
      <c r="G10" s="52">
        <v>4</v>
      </c>
      <c r="H10" s="54">
        <v>0</v>
      </c>
      <c r="I10" s="55">
        <v>36</v>
      </c>
      <c r="J10" s="56">
        <v>12</v>
      </c>
    </row>
    <row r="11" spans="1:10" s="31" customFormat="1" ht="15">
      <c r="A11" s="62" t="s">
        <v>16</v>
      </c>
      <c r="B11" s="50">
        <f t="shared" si="1"/>
        <v>45</v>
      </c>
      <c r="C11" s="50">
        <v>399</v>
      </c>
      <c r="D11" s="51">
        <f t="shared" si="0"/>
        <v>8.866666666666667</v>
      </c>
      <c r="E11" s="58">
        <v>19</v>
      </c>
      <c r="F11" s="59">
        <v>9</v>
      </c>
      <c r="G11" s="58">
        <v>13</v>
      </c>
      <c r="H11" s="60">
        <v>4</v>
      </c>
      <c r="I11" s="55">
        <v>34</v>
      </c>
      <c r="J11" s="56">
        <v>12</v>
      </c>
    </row>
    <row r="12" spans="1:11" s="31" customFormat="1" ht="15">
      <c r="A12" s="49" t="s">
        <v>17</v>
      </c>
      <c r="B12" s="50">
        <f t="shared" si="1"/>
        <v>23</v>
      </c>
      <c r="C12" s="50">
        <f>73+149</f>
        <v>222</v>
      </c>
      <c r="D12" s="51">
        <f t="shared" si="0"/>
        <v>9.652173913043478</v>
      </c>
      <c r="E12" s="52">
        <f>5+1</f>
        <v>6</v>
      </c>
      <c r="F12" s="53">
        <v>9</v>
      </c>
      <c r="G12" s="52">
        <f>3+3</f>
        <v>6</v>
      </c>
      <c r="H12" s="54">
        <f>1+1</f>
        <v>2</v>
      </c>
      <c r="I12" s="55">
        <f>26+8</f>
        <v>34</v>
      </c>
      <c r="J12" s="56">
        <f>5+2</f>
        <v>7</v>
      </c>
      <c r="K12" s="47"/>
    </row>
    <row r="13" spans="1:11" s="31" customFormat="1" ht="15">
      <c r="A13" s="57" t="s">
        <v>18</v>
      </c>
      <c r="B13" s="50">
        <f t="shared" si="1"/>
        <v>25</v>
      </c>
      <c r="C13" s="50">
        <f>66+47+112+50</f>
        <v>275</v>
      </c>
      <c r="D13" s="51">
        <f t="shared" si="0"/>
        <v>11</v>
      </c>
      <c r="E13" s="58">
        <f>2+3</f>
        <v>5</v>
      </c>
      <c r="F13" s="59">
        <f>1+3+3+1</f>
        <v>8</v>
      </c>
      <c r="G13" s="58">
        <f>4+3+1</f>
        <v>8</v>
      </c>
      <c r="H13" s="60">
        <f>1+2+1</f>
        <v>4</v>
      </c>
      <c r="I13" s="55">
        <f>6+8+6+4+11</f>
        <v>35</v>
      </c>
      <c r="J13" s="56">
        <f>2+3+3+2+2</f>
        <v>12</v>
      </c>
      <c r="K13" s="48"/>
    </row>
    <row r="14" spans="1:10" s="31" customFormat="1" ht="15">
      <c r="A14" s="49" t="s">
        <v>19</v>
      </c>
      <c r="B14" s="50">
        <f t="shared" si="1"/>
        <v>32</v>
      </c>
      <c r="C14" s="50">
        <f>31+57+84+87+53</f>
        <v>312</v>
      </c>
      <c r="D14" s="51">
        <f t="shared" si="0"/>
        <v>9.75</v>
      </c>
      <c r="E14" s="52">
        <f>3+2+1+1+5+1</f>
        <v>13</v>
      </c>
      <c r="F14" s="53">
        <f>1+2+1</f>
        <v>4</v>
      </c>
      <c r="G14" s="52">
        <f>1+3+2+4+3</f>
        <v>13</v>
      </c>
      <c r="H14" s="54">
        <f>1+1</f>
        <v>2</v>
      </c>
      <c r="I14" s="55">
        <f>11+9+9+5+4</f>
        <v>38</v>
      </c>
      <c r="J14" s="56">
        <f>3+1+1+1</f>
        <v>6</v>
      </c>
    </row>
    <row r="15" spans="1:10" s="31" customFormat="1" ht="15">
      <c r="A15" s="61" t="s">
        <v>20</v>
      </c>
      <c r="B15" s="50">
        <f t="shared" si="1"/>
        <v>34</v>
      </c>
      <c r="C15" s="50">
        <f>47+37+103+102</f>
        <v>289</v>
      </c>
      <c r="D15" s="51">
        <f t="shared" si="0"/>
        <v>8.5</v>
      </c>
      <c r="E15" s="58">
        <f>5+4+6</f>
        <v>15</v>
      </c>
      <c r="F15" s="59">
        <f>3+3</f>
        <v>6</v>
      </c>
      <c r="G15" s="58">
        <f>1+1+5+4</f>
        <v>11</v>
      </c>
      <c r="H15" s="60">
        <f>1+1</f>
        <v>2</v>
      </c>
      <c r="I15" s="55">
        <f>5+8+10+5</f>
        <v>28</v>
      </c>
      <c r="J15" s="56">
        <f>4+4</f>
        <v>8</v>
      </c>
    </row>
    <row r="16" spans="1:10" s="31" customFormat="1" ht="15">
      <c r="A16" s="49" t="s">
        <v>21</v>
      </c>
      <c r="B16" s="50">
        <f t="shared" si="1"/>
        <v>33</v>
      </c>
      <c r="C16" s="50">
        <f>56+66+60+106</f>
        <v>288</v>
      </c>
      <c r="D16" s="51">
        <f t="shared" si="0"/>
        <v>8.727272727272727</v>
      </c>
      <c r="E16" s="52">
        <f>4+1+1+5</f>
        <v>11</v>
      </c>
      <c r="F16" s="53">
        <f>3+3+2</f>
        <v>8</v>
      </c>
      <c r="G16" s="52">
        <f>2+3+3+5</f>
        <v>13</v>
      </c>
      <c r="H16" s="54">
        <f>0+1</f>
        <v>1</v>
      </c>
      <c r="I16" s="55">
        <f>9+5+9+7</f>
        <v>30</v>
      </c>
      <c r="J16" s="56">
        <f>3+1+1</f>
        <v>5</v>
      </c>
    </row>
    <row r="17" spans="1:10" s="31" customFormat="1" ht="15.75" thickBot="1">
      <c r="A17" s="57" t="s">
        <v>22</v>
      </c>
      <c r="B17" s="63">
        <f>SUM(E17:H17)</f>
        <v>25</v>
      </c>
      <c r="C17" s="63">
        <f>56+71+28+28+43</f>
        <v>226</v>
      </c>
      <c r="D17" s="51">
        <f>IF(B17=0,0,C17/B17)</f>
        <v>9.04</v>
      </c>
      <c r="E17" s="64">
        <f>1+1+4+2+1</f>
        <v>9</v>
      </c>
      <c r="F17" s="65">
        <f>2+1+1+2</f>
        <v>6</v>
      </c>
      <c r="G17" s="64">
        <f>1+3+1+1+2</f>
        <v>8</v>
      </c>
      <c r="H17" s="66">
        <f>1+1</f>
        <v>2</v>
      </c>
      <c r="I17" s="67">
        <f>8+2+4+4</f>
        <v>18</v>
      </c>
      <c r="J17" s="68">
        <f>4+3+3+1</f>
        <v>11</v>
      </c>
    </row>
    <row r="18" spans="1:10" s="31" customFormat="1" ht="15.75" thickTop="1">
      <c r="A18" s="69" t="s">
        <v>46</v>
      </c>
      <c r="B18" s="70">
        <f>SUM(B6:B17)</f>
        <v>351</v>
      </c>
      <c r="C18" s="70">
        <f>SUM(C6:C17)</f>
        <v>3609</v>
      </c>
      <c r="D18" s="71">
        <f>C18/B18</f>
        <v>10.282051282051283</v>
      </c>
      <c r="E18" s="72">
        <f aca="true" t="shared" si="2" ref="E18:J18">SUM(E6:E17)</f>
        <v>112</v>
      </c>
      <c r="F18" s="73">
        <f t="shared" si="2"/>
        <v>86</v>
      </c>
      <c r="G18" s="72">
        <f t="shared" si="2"/>
        <v>124</v>
      </c>
      <c r="H18" s="74">
        <f t="shared" si="2"/>
        <v>29</v>
      </c>
      <c r="I18" s="104">
        <f t="shared" si="2"/>
        <v>344</v>
      </c>
      <c r="J18" s="105">
        <f t="shared" si="2"/>
        <v>110</v>
      </c>
    </row>
    <row r="19" spans="1:10" s="31" customFormat="1" ht="15">
      <c r="A19" s="98" t="s">
        <v>47</v>
      </c>
      <c r="B19" s="99"/>
      <c r="C19" s="99"/>
      <c r="D19" s="100"/>
      <c r="E19" s="75">
        <f>E18/$B$18</f>
        <v>0.3190883190883191</v>
      </c>
      <c r="F19" s="75">
        <f>F18/$B$18</f>
        <v>0.245014245014245</v>
      </c>
      <c r="G19" s="75">
        <f>G18/$B$18</f>
        <v>0.35327635327635326</v>
      </c>
      <c r="H19" s="76">
        <f>H18/$B$18</f>
        <v>0.08262108262108261</v>
      </c>
      <c r="I19" s="69"/>
      <c r="J19" s="154"/>
    </row>
    <row r="20" spans="1:10" s="31" customFormat="1" ht="15">
      <c r="A20" s="98" t="s">
        <v>48</v>
      </c>
      <c r="B20" s="99"/>
      <c r="C20" s="99"/>
      <c r="D20" s="99"/>
      <c r="E20" s="100"/>
      <c r="F20" s="77">
        <f>SUM(F19:H19)</f>
        <v>0.6809116809116809</v>
      </c>
      <c r="G20" s="79"/>
      <c r="H20" s="80"/>
      <c r="I20" s="155"/>
      <c r="J20" s="156"/>
    </row>
    <row r="21" spans="1:10" s="31" customFormat="1" ht="15">
      <c r="A21" s="98" t="s">
        <v>49</v>
      </c>
      <c r="B21" s="99"/>
      <c r="C21" s="99"/>
      <c r="D21" s="100"/>
      <c r="E21" s="77">
        <f>SUM(E19:F19)</f>
        <v>0.5641025641025641</v>
      </c>
      <c r="F21" s="78"/>
      <c r="G21" s="77">
        <f>SUM(G19:H19)</f>
        <v>0.4358974358974359</v>
      </c>
      <c r="H21" s="78"/>
      <c r="I21" s="155"/>
      <c r="J21" s="156"/>
    </row>
    <row r="22" spans="1:11" s="31" customFormat="1" ht="15" customHeight="1">
      <c r="A22" s="98" t="s">
        <v>50</v>
      </c>
      <c r="B22" s="99"/>
      <c r="C22" s="99"/>
      <c r="D22" s="100"/>
      <c r="E22" s="81">
        <f>B18/(B18+I18+J18)</f>
        <v>0.4360248447204969</v>
      </c>
      <c r="F22" s="82"/>
      <c r="G22" s="82"/>
      <c r="H22" s="83"/>
      <c r="I22" s="81">
        <f>($I$18+$J$18)/($B$18+$I$18+$J$18)</f>
        <v>0.5639751552795031</v>
      </c>
      <c r="J22" s="83"/>
      <c r="K22" s="19"/>
    </row>
    <row r="23" spans="1:11" s="31" customFormat="1" ht="15.75" customHeight="1">
      <c r="A23" s="106"/>
      <c r="B23" s="106"/>
      <c r="C23" s="106"/>
      <c r="D23" s="106"/>
      <c r="E23" s="106"/>
      <c r="F23" s="106"/>
      <c r="G23" s="106"/>
      <c r="H23" s="106"/>
      <c r="I23" s="107"/>
      <c r="J23" s="107"/>
      <c r="K23" s="19"/>
    </row>
    <row r="24" spans="1:11" ht="15">
      <c r="A24" s="85"/>
      <c r="B24" s="53">
        <v>1996</v>
      </c>
      <c r="C24" s="53">
        <v>1997</v>
      </c>
      <c r="D24" s="53">
        <v>1998</v>
      </c>
      <c r="E24" s="84"/>
      <c r="F24" s="84"/>
      <c r="G24" s="84"/>
      <c r="H24" s="84"/>
      <c r="I24" s="84"/>
      <c r="J24" s="84"/>
      <c r="K24" s="25"/>
    </row>
    <row r="25" spans="1:10" ht="15">
      <c r="A25" s="101" t="s">
        <v>51</v>
      </c>
      <c r="B25" s="87">
        <v>355</v>
      </c>
      <c r="C25" s="87">
        <v>376</v>
      </c>
      <c r="D25" s="87">
        <f>B18</f>
        <v>351</v>
      </c>
      <c r="E25" s="84"/>
      <c r="F25" s="84"/>
      <c r="G25" s="84"/>
      <c r="H25" s="86"/>
      <c r="I25" s="84"/>
      <c r="J25" s="84"/>
    </row>
    <row r="26" spans="1:11" ht="15">
      <c r="A26" s="101" t="s">
        <v>52</v>
      </c>
      <c r="B26" s="88">
        <v>2930</v>
      </c>
      <c r="C26" s="88">
        <v>3248</v>
      </c>
      <c r="D26" s="88">
        <f>C18</f>
        <v>3609</v>
      </c>
      <c r="E26" s="84"/>
      <c r="F26" s="84"/>
      <c r="G26" s="84"/>
      <c r="H26" s="84"/>
      <c r="I26" s="84"/>
      <c r="J26" s="84"/>
      <c r="K26" s="25"/>
    </row>
    <row r="27" spans="1:11" ht="15">
      <c r="A27" s="101" t="s">
        <v>53</v>
      </c>
      <c r="B27" s="87">
        <v>8.3</v>
      </c>
      <c r="C27" s="87">
        <v>8.6</v>
      </c>
      <c r="D27" s="89">
        <f>D18</f>
        <v>10.282051282051283</v>
      </c>
      <c r="E27" s="84"/>
      <c r="F27" s="84"/>
      <c r="G27" s="84"/>
      <c r="H27" s="84"/>
      <c r="I27" s="84"/>
      <c r="J27" s="84"/>
      <c r="K27" s="25"/>
    </row>
    <row r="28" spans="1:11" ht="15">
      <c r="A28" s="101" t="s">
        <v>54</v>
      </c>
      <c r="B28" s="87">
        <v>12</v>
      </c>
      <c r="C28" s="87">
        <v>21</v>
      </c>
      <c r="D28" s="87">
        <f>H18</f>
        <v>29</v>
      </c>
      <c r="E28" s="84"/>
      <c r="F28" s="84"/>
      <c r="G28" s="84"/>
      <c r="H28" s="84"/>
      <c r="I28" s="84"/>
      <c r="J28" s="84"/>
      <c r="K28" s="25"/>
    </row>
    <row r="29" spans="1:11" ht="15">
      <c r="A29" s="101" t="s">
        <v>55</v>
      </c>
      <c r="B29" s="90">
        <v>0.03</v>
      </c>
      <c r="C29" s="90">
        <v>0.06</v>
      </c>
      <c r="D29" s="91">
        <f>H19</f>
        <v>0.08262108262108261</v>
      </c>
      <c r="E29" s="84"/>
      <c r="F29" s="84"/>
      <c r="G29" s="84"/>
      <c r="H29" s="84"/>
      <c r="I29" s="84"/>
      <c r="J29" s="84"/>
      <c r="K29" s="25"/>
    </row>
    <row r="30" spans="5:11" ht="15">
      <c r="E30" s="84"/>
      <c r="F30" s="84"/>
      <c r="G30" s="84"/>
      <c r="H30" s="84"/>
      <c r="I30" s="84"/>
      <c r="J30" s="84"/>
      <c r="K30" s="25"/>
    </row>
    <row r="31" ht="12.75">
      <c r="K31" s="25"/>
    </row>
    <row r="32" spans="1:11" ht="12.75">
      <c r="A32" s="102" t="s">
        <v>56</v>
      </c>
      <c r="B32" s="103"/>
      <c r="C32" s="103"/>
      <c r="D32" s="103"/>
      <c r="E32" s="103"/>
      <c r="F32" s="31"/>
      <c r="G32" s="31"/>
      <c r="K32" s="25"/>
    </row>
    <row r="33" spans="2:4" s="25" customFormat="1" ht="12.75">
      <c r="B33"/>
      <c r="C33"/>
      <c r="D33"/>
    </row>
    <row r="34" spans="2:11" ht="12.75">
      <c r="B34" s="25"/>
      <c r="C34" s="25"/>
      <c r="D34" s="25"/>
      <c r="K34" s="25"/>
    </row>
    <row r="35" ht="12.75">
      <c r="K35" s="25"/>
    </row>
    <row r="36" ht="12.75">
      <c r="K36" s="25"/>
    </row>
    <row r="37" spans="1:10" ht="12.75">
      <c r="A37" s="31"/>
      <c r="E37" s="19"/>
      <c r="F37" s="3"/>
      <c r="G37" s="3"/>
      <c r="H37" s="34"/>
      <c r="I37" s="19"/>
      <c r="J37" s="25"/>
    </row>
    <row r="38" spans="1:9" ht="12.75">
      <c r="A38" s="31"/>
      <c r="B38" s="19"/>
      <c r="C38" s="31"/>
      <c r="D38" s="31"/>
      <c r="E38" s="19"/>
      <c r="F38" s="3"/>
      <c r="G38" s="35"/>
      <c r="H38" s="34"/>
      <c r="I38" s="31"/>
    </row>
    <row r="39" spans="2:4" ht="12.75">
      <c r="B39" s="31"/>
      <c r="C39" s="31"/>
      <c r="D39" s="31"/>
    </row>
  </sheetData>
  <printOptions/>
  <pageMargins left="0.75" right="0.75" top="1" bottom="1" header="0.5" footer="0.5"/>
  <pageSetup horizontalDpi="300" verticalDpi="300" orientation="portrait" scale="86"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K35"/>
  <sheetViews>
    <sheetView workbookViewId="0" topLeftCell="A3">
      <selection activeCell="D51" sqref="D51"/>
    </sheetView>
  </sheetViews>
  <sheetFormatPr defaultColWidth="9.140625" defaultRowHeight="12.75"/>
  <cols>
    <col min="1" max="1" width="22.28125" style="0" customWidth="1"/>
    <col min="2" max="2" width="10.7109375" style="0" customWidth="1"/>
    <col min="3" max="4" width="10.140625" style="0" customWidth="1"/>
    <col min="5" max="5" width="8.28125" style="0" customWidth="1"/>
    <col min="7" max="7" width="9.8515625" style="0" customWidth="1"/>
    <col min="8" max="8" width="10.8515625" style="0" customWidth="1"/>
    <col min="9" max="9" width="8.00390625" style="0" customWidth="1"/>
    <col min="10" max="10" width="9.421875" style="0" customWidth="1"/>
    <col min="11" max="11" width="1.57421875" style="0" customWidth="1"/>
    <col min="12" max="12" width="3.140625" style="0" customWidth="1"/>
  </cols>
  <sheetData>
    <row r="1" spans="1:11" ht="33">
      <c r="A1" s="40" t="s">
        <v>30</v>
      </c>
      <c r="B1" s="147"/>
      <c r="C1" s="147"/>
      <c r="D1" s="147"/>
      <c r="E1" s="147"/>
      <c r="F1" s="147"/>
      <c r="G1" s="147"/>
      <c r="H1" s="147"/>
      <c r="I1" s="147"/>
      <c r="J1" s="148"/>
      <c r="K1" s="142"/>
    </row>
    <row r="2" spans="1:11" ht="13.5" thickBot="1">
      <c r="A2" s="43"/>
      <c r="B2" s="44"/>
      <c r="C2" s="44"/>
      <c r="D2" s="44"/>
      <c r="E2" s="44"/>
      <c r="F2" s="44"/>
      <c r="G2" s="44"/>
      <c r="H2" s="44"/>
      <c r="I2" s="44"/>
      <c r="J2" s="45"/>
      <c r="K2" s="25"/>
    </row>
    <row r="3" spans="1:10" ht="13.5" thickBot="1">
      <c r="A3" s="112"/>
      <c r="B3" s="113"/>
      <c r="C3" s="113"/>
      <c r="D3" s="178"/>
      <c r="E3" s="94" t="s">
        <v>31</v>
      </c>
      <c r="F3" s="95"/>
      <c r="G3" s="95"/>
      <c r="H3" s="95"/>
      <c r="I3" s="109" t="s">
        <v>32</v>
      </c>
      <c r="J3" s="110"/>
    </row>
    <row r="4" spans="1:10" ht="12.75">
      <c r="A4" s="169"/>
      <c r="B4" s="177" t="s">
        <v>33</v>
      </c>
      <c r="C4" s="177" t="s">
        <v>34</v>
      </c>
      <c r="D4" s="177" t="s">
        <v>35</v>
      </c>
      <c r="E4" s="24" t="s">
        <v>36</v>
      </c>
      <c r="F4" s="114" t="s">
        <v>37</v>
      </c>
      <c r="G4" s="24" t="s">
        <v>38</v>
      </c>
      <c r="H4" s="123" t="s">
        <v>39</v>
      </c>
      <c r="I4" s="124"/>
      <c r="J4" s="125"/>
    </row>
    <row r="5" spans="1:10" ht="12.75">
      <c r="A5" s="169">
        <v>1999</v>
      </c>
      <c r="B5" s="116" t="s">
        <v>4</v>
      </c>
      <c r="C5" s="116" t="s">
        <v>40</v>
      </c>
      <c r="D5" s="116" t="s">
        <v>41</v>
      </c>
      <c r="E5" s="24" t="s">
        <v>41</v>
      </c>
      <c r="F5" s="114" t="s">
        <v>41</v>
      </c>
      <c r="G5" s="24" t="s">
        <v>41</v>
      </c>
      <c r="H5" s="123" t="s">
        <v>41</v>
      </c>
      <c r="I5" s="126" t="s">
        <v>42</v>
      </c>
      <c r="J5" s="127" t="s">
        <v>43</v>
      </c>
    </row>
    <row r="6" spans="1:10" ht="12.75">
      <c r="A6" s="170" t="s">
        <v>11</v>
      </c>
      <c r="B6" s="116">
        <f>SUM(E6:H6)</f>
        <v>33</v>
      </c>
      <c r="C6" s="116">
        <f>144+95+126+20</f>
        <v>385</v>
      </c>
      <c r="D6" s="176">
        <f aca="true" t="shared" si="0" ref="D6:D16">IF(B6=0,0,C6/B6)</f>
        <v>11.666666666666666</v>
      </c>
      <c r="E6" s="115">
        <f>2+1+2+3</f>
        <v>8</v>
      </c>
      <c r="F6" s="116">
        <f>2+1+2</f>
        <v>5</v>
      </c>
      <c r="G6" s="115">
        <f>5+5+5+1</f>
        <v>16</v>
      </c>
      <c r="H6" s="128">
        <f>2+1+1</f>
        <v>4</v>
      </c>
      <c r="I6" s="126">
        <f>8+6+10+13</f>
        <v>37</v>
      </c>
      <c r="J6" s="129">
        <f>2+6+1+2</f>
        <v>11</v>
      </c>
    </row>
    <row r="7" spans="1:10" ht="12.75">
      <c r="A7" s="171" t="s">
        <v>12</v>
      </c>
      <c r="B7" s="116">
        <f aca="true" t="shared" si="1" ref="B7:B16">SUM(E7:H7)</f>
        <v>29</v>
      </c>
      <c r="C7" s="116">
        <f>46+101+116+24</f>
        <v>287</v>
      </c>
      <c r="D7" s="176">
        <f t="shared" si="0"/>
        <v>9.89655172413793</v>
      </c>
      <c r="E7" s="24">
        <f>2+1+6</f>
        <v>9</v>
      </c>
      <c r="F7" s="114">
        <f>1+7</f>
        <v>8</v>
      </c>
      <c r="G7" s="24">
        <f>3+2+3+2</f>
        <v>10</v>
      </c>
      <c r="H7" s="123">
        <f>2</f>
        <v>2</v>
      </c>
      <c r="I7" s="126">
        <f>6+7+8+6</f>
        <v>27</v>
      </c>
      <c r="J7" s="129">
        <f>4+3+1+1</f>
        <v>9</v>
      </c>
    </row>
    <row r="8" spans="1:10" ht="12.75">
      <c r="A8" s="170" t="s">
        <v>13</v>
      </c>
      <c r="B8" s="116">
        <f>SUM(E8:H8)</f>
        <v>37</v>
      </c>
      <c r="C8" s="116">
        <f>110+16+23+140+80</f>
        <v>369</v>
      </c>
      <c r="D8" s="176">
        <f t="shared" si="0"/>
        <v>9.972972972972974</v>
      </c>
      <c r="E8" s="115">
        <f>4+2+3+1</f>
        <v>10</v>
      </c>
      <c r="F8" s="116">
        <f>2+1+8+3</f>
        <v>14</v>
      </c>
      <c r="G8" s="115">
        <f>2+1+2+4</f>
        <v>9</v>
      </c>
      <c r="H8" s="128">
        <f>2+2</f>
        <v>4</v>
      </c>
      <c r="I8" s="126">
        <f>7+9+12+17+6</f>
        <v>51</v>
      </c>
      <c r="J8" s="129">
        <f>0+2+2+1+2</f>
        <v>7</v>
      </c>
    </row>
    <row r="9" spans="1:10" ht="12.75">
      <c r="A9" s="172" t="s">
        <v>14</v>
      </c>
      <c r="B9" s="116">
        <f t="shared" si="1"/>
        <v>24</v>
      </c>
      <c r="C9" s="116">
        <f>67+69+52+73</f>
        <v>261</v>
      </c>
      <c r="D9" s="176">
        <f t="shared" si="0"/>
        <v>10.875</v>
      </c>
      <c r="E9" s="24">
        <f>2+2+1+2</f>
        <v>7</v>
      </c>
      <c r="F9" s="114">
        <f>2+2</f>
        <v>4</v>
      </c>
      <c r="G9" s="24">
        <f>3+4+1+3</f>
        <v>11</v>
      </c>
      <c r="H9" s="123">
        <f>0+1+1</f>
        <v>2</v>
      </c>
      <c r="I9" s="126">
        <f>13+1+5+5</f>
        <v>24</v>
      </c>
      <c r="J9" s="129">
        <f>9+1+3+1</f>
        <v>14</v>
      </c>
    </row>
    <row r="10" spans="1:10" ht="12.75">
      <c r="A10" s="170" t="s">
        <v>15</v>
      </c>
      <c r="B10" s="116">
        <f t="shared" si="1"/>
        <v>25</v>
      </c>
      <c r="C10" s="116">
        <f>44+46+113+5</f>
        <v>208</v>
      </c>
      <c r="D10" s="176">
        <f t="shared" si="0"/>
        <v>8.32</v>
      </c>
      <c r="E10" s="115">
        <f>3+3+2+1</f>
        <v>9</v>
      </c>
      <c r="F10" s="116">
        <f>1+1+5</f>
        <v>7</v>
      </c>
      <c r="G10" s="115">
        <f>2+2+5</f>
        <v>9</v>
      </c>
      <c r="H10" s="128">
        <f>0</f>
        <v>0</v>
      </c>
      <c r="I10" s="126">
        <f>2+11+6+4</f>
        <v>23</v>
      </c>
      <c r="J10" s="129">
        <f>2+3+1</f>
        <v>6</v>
      </c>
    </row>
    <row r="11" spans="1:10" ht="12.75">
      <c r="A11" s="173" t="s">
        <v>16</v>
      </c>
      <c r="B11" s="116">
        <f t="shared" si="1"/>
        <v>37</v>
      </c>
      <c r="C11" s="116">
        <f>42+96+107+45+55</f>
        <v>345</v>
      </c>
      <c r="D11" s="176">
        <f t="shared" si="0"/>
        <v>9.324324324324325</v>
      </c>
      <c r="E11" s="24">
        <f>3+1+4+4+3</f>
        <v>15</v>
      </c>
      <c r="F11" s="114">
        <f>2+2+2+1</f>
        <v>7</v>
      </c>
      <c r="G11" s="24">
        <f>1+3+5+2+2</f>
        <v>13</v>
      </c>
      <c r="H11" s="123">
        <f>0+1+1</f>
        <v>2</v>
      </c>
      <c r="I11" s="126">
        <f>7+5+5+6</f>
        <v>23</v>
      </c>
      <c r="J11" s="129">
        <f>3+1+2+3</f>
        <v>9</v>
      </c>
    </row>
    <row r="12" spans="1:10" ht="12.75">
      <c r="A12" s="170" t="s">
        <v>17</v>
      </c>
      <c r="B12" s="162">
        <f t="shared" si="1"/>
        <v>30.833333333333332</v>
      </c>
      <c r="C12" s="162">
        <f>AVERAGE(C6:C11)</f>
        <v>309.1666666666667</v>
      </c>
      <c r="D12" s="176">
        <f t="shared" si="0"/>
        <v>10.027027027027028</v>
      </c>
      <c r="E12" s="161">
        <f aca="true" t="shared" si="2" ref="E12:J12">AVERAGE(E6:E11)</f>
        <v>9.666666666666666</v>
      </c>
      <c r="F12" s="162">
        <f t="shared" si="2"/>
        <v>7.5</v>
      </c>
      <c r="G12" s="161">
        <f t="shared" si="2"/>
        <v>11.333333333333334</v>
      </c>
      <c r="H12" s="163">
        <f t="shared" si="2"/>
        <v>2.3333333333333335</v>
      </c>
      <c r="I12" s="164">
        <f t="shared" si="2"/>
        <v>30.833333333333332</v>
      </c>
      <c r="J12" s="165">
        <f t="shared" si="2"/>
        <v>9.333333333333334</v>
      </c>
    </row>
    <row r="13" spans="1:10" ht="12.75">
      <c r="A13" s="171" t="s">
        <v>18</v>
      </c>
      <c r="B13" s="116">
        <f t="shared" si="1"/>
        <v>30</v>
      </c>
      <c r="C13" s="116">
        <f>1+2+3+5+8+12+14+18+10+10+11+18+14+14+14+16+22+1+2+10+11+12+13+18+19+23+24+1+5+6+15+24+19+11</f>
        <v>406</v>
      </c>
      <c r="D13" s="176">
        <f t="shared" si="0"/>
        <v>13.533333333333333</v>
      </c>
      <c r="E13" s="24">
        <v>8</v>
      </c>
      <c r="F13" s="114">
        <v>5</v>
      </c>
      <c r="G13" s="24">
        <v>14</v>
      </c>
      <c r="H13" s="123">
        <v>3</v>
      </c>
      <c r="I13" s="126">
        <v>33</v>
      </c>
      <c r="J13" s="129">
        <v>9</v>
      </c>
    </row>
    <row r="14" spans="1:10" ht="12.75">
      <c r="A14" s="170" t="s">
        <v>19</v>
      </c>
      <c r="B14" s="116">
        <f t="shared" si="1"/>
        <v>24</v>
      </c>
      <c r="C14" s="116">
        <f>1+3+4+8+11+20+20+10+12+14+16+5+6+14+16+21+34+1+4+6+7+12+46</f>
        <v>291</v>
      </c>
      <c r="D14" s="176">
        <f t="shared" si="0"/>
        <v>12.125</v>
      </c>
      <c r="E14" s="115">
        <f>4+2</f>
        <v>6</v>
      </c>
      <c r="F14" s="116">
        <f>3+3</f>
        <v>6</v>
      </c>
      <c r="G14" s="115">
        <f>6+2</f>
        <v>8</v>
      </c>
      <c r="H14" s="128">
        <f>4</f>
        <v>4</v>
      </c>
      <c r="I14" s="126">
        <f>10</f>
        <v>10</v>
      </c>
      <c r="J14" s="129">
        <f>0+3</f>
        <v>3</v>
      </c>
    </row>
    <row r="15" spans="1:10" ht="12.75">
      <c r="A15" s="172" t="s">
        <v>57</v>
      </c>
      <c r="B15" s="116">
        <f t="shared" si="1"/>
        <v>44</v>
      </c>
      <c r="C15" s="116">
        <v>429</v>
      </c>
      <c r="D15" s="176">
        <f t="shared" si="0"/>
        <v>9.75</v>
      </c>
      <c r="E15" s="24">
        <f>9+4</f>
        <v>13</v>
      </c>
      <c r="F15" s="114">
        <f>8</f>
        <v>8</v>
      </c>
      <c r="G15" s="24">
        <f>7+13</f>
        <v>20</v>
      </c>
      <c r="H15" s="123">
        <v>3</v>
      </c>
      <c r="I15" s="126">
        <v>24</v>
      </c>
      <c r="J15" s="129">
        <v>6</v>
      </c>
    </row>
    <row r="16" spans="1:10" ht="12.75">
      <c r="A16" s="170" t="s">
        <v>21</v>
      </c>
      <c r="B16" s="116">
        <f t="shared" si="1"/>
        <v>43</v>
      </c>
      <c r="C16" s="116">
        <f>1+2+3+5+15+19+10+12+14+17+9+13+14+16+22+2+3+10+15+25+17+20+7+26+16+23</f>
        <v>336</v>
      </c>
      <c r="D16" s="176">
        <f t="shared" si="0"/>
        <v>7.813953488372093</v>
      </c>
      <c r="E16" s="115">
        <f>10+6</f>
        <v>16</v>
      </c>
      <c r="F16" s="116">
        <f>6+4</f>
        <v>10</v>
      </c>
      <c r="G16" s="115">
        <f>9+5</f>
        <v>14</v>
      </c>
      <c r="H16" s="128">
        <f>1+2</f>
        <v>3</v>
      </c>
      <c r="I16" s="126">
        <f>14+5</f>
        <v>19</v>
      </c>
      <c r="J16" s="129">
        <f>9+1</f>
        <v>10</v>
      </c>
    </row>
    <row r="17" spans="1:10" ht="13.5" thickBot="1">
      <c r="A17" s="171" t="s">
        <v>58</v>
      </c>
      <c r="B17" s="118">
        <f>SUM(E17:H17)</f>
        <v>38</v>
      </c>
      <c r="C17" s="118">
        <f>9+9+6+14+8+8+9+10+33+12+28+45+16+17+18+21+10+18+14+14+11+21+25+13</f>
        <v>389</v>
      </c>
      <c r="D17" s="179">
        <f>IF(B17=0,0,C17/B17)</f>
        <v>10.236842105263158</v>
      </c>
      <c r="E17" s="117">
        <v>9</v>
      </c>
      <c r="F17" s="118">
        <v>11</v>
      </c>
      <c r="G17" s="117">
        <v>17</v>
      </c>
      <c r="H17" s="130">
        <v>1</v>
      </c>
      <c r="I17" s="131">
        <v>24</v>
      </c>
      <c r="J17" s="132">
        <v>2</v>
      </c>
    </row>
    <row r="18" spans="1:10" ht="14.25" thickBot="1" thickTop="1">
      <c r="A18" s="180" t="s">
        <v>46</v>
      </c>
      <c r="B18" s="181">
        <f>SUM(B6:B17)</f>
        <v>394.83333333333337</v>
      </c>
      <c r="C18" s="181">
        <f>SUM(C6:C17)</f>
        <v>4015.1666666666665</v>
      </c>
      <c r="D18" s="182">
        <f>C18/B18</f>
        <v>10.169269734065004</v>
      </c>
      <c r="E18" s="183">
        <f aca="true" t="shared" si="3" ref="E18:J18">SUM(E6:E17)</f>
        <v>119.66666666666667</v>
      </c>
      <c r="F18" s="181">
        <f t="shared" si="3"/>
        <v>92.5</v>
      </c>
      <c r="G18" s="183">
        <f t="shared" si="3"/>
        <v>152.33333333333331</v>
      </c>
      <c r="H18" s="184">
        <f t="shared" si="3"/>
        <v>30.333333333333332</v>
      </c>
      <c r="I18" s="185">
        <f t="shared" si="3"/>
        <v>325.83333333333337</v>
      </c>
      <c r="J18" s="186">
        <f t="shared" si="3"/>
        <v>95.33333333333333</v>
      </c>
    </row>
    <row r="19" spans="1:11" ht="12.75">
      <c r="A19" s="174" t="s">
        <v>59</v>
      </c>
      <c r="B19" s="133"/>
      <c r="C19" s="133"/>
      <c r="D19" s="152"/>
      <c r="E19" s="187">
        <f>E18/$B$18</f>
        <v>0.3030814689742507</v>
      </c>
      <c r="F19" s="187">
        <f>F18/$B$18</f>
        <v>0.23427606585056984</v>
      </c>
      <c r="G19" s="187">
        <f>G18/$B$18</f>
        <v>0.38581680033769516</v>
      </c>
      <c r="H19" s="188">
        <f>H18/$B$18</f>
        <v>0.07682566483748415</v>
      </c>
      <c r="I19" s="149"/>
      <c r="J19" s="175"/>
      <c r="K19" s="143"/>
    </row>
    <row r="20" spans="1:11" ht="12.75">
      <c r="A20" s="174" t="s">
        <v>48</v>
      </c>
      <c r="B20" s="133"/>
      <c r="C20" s="133"/>
      <c r="D20" s="133"/>
      <c r="E20" s="153"/>
      <c r="F20" s="134">
        <f>SUM(F19:H19)</f>
        <v>0.6969185310257491</v>
      </c>
      <c r="G20" s="145"/>
      <c r="H20" s="145"/>
      <c r="I20" s="149"/>
      <c r="J20" s="150"/>
      <c r="K20" s="143"/>
    </row>
    <row r="21" spans="1:11" ht="15">
      <c r="A21" s="198" t="s">
        <v>49</v>
      </c>
      <c r="B21" s="199"/>
      <c r="C21" s="199"/>
      <c r="D21" s="133"/>
      <c r="E21" s="134">
        <f>SUM(E19:F19)</f>
        <v>0.5373575348248205</v>
      </c>
      <c r="F21" s="135"/>
      <c r="G21" s="134">
        <f>SUM(G19:H19)</f>
        <v>0.4626424651751793</v>
      </c>
      <c r="H21" s="145"/>
      <c r="I21" s="149"/>
      <c r="J21" s="151"/>
      <c r="K21" s="144"/>
    </row>
    <row r="22" spans="1:10" ht="15" customHeight="1">
      <c r="A22" s="133" t="s">
        <v>60</v>
      </c>
      <c r="B22" s="133"/>
      <c r="C22" s="133"/>
      <c r="D22" s="152"/>
      <c r="E22" s="192">
        <f>B18/(E18+F18+G18+H18+I18+J18)</f>
        <v>0.4838643790849673</v>
      </c>
      <c r="F22" s="192"/>
      <c r="G22" s="192"/>
      <c r="H22" s="192"/>
      <c r="I22" s="193">
        <f>($I$18+$J$18)/($B$18+$I$18+$J$18)</f>
        <v>0.5161356209150326</v>
      </c>
      <c r="J22" s="194"/>
    </row>
    <row r="23" spans="1:10" ht="15" customHeight="1" thickBot="1">
      <c r="A23" s="195" t="s">
        <v>61</v>
      </c>
      <c r="B23" s="196"/>
      <c r="C23" s="196"/>
      <c r="D23" s="197"/>
      <c r="E23" s="189">
        <f>SUM(B18+I18+J18)</f>
        <v>816.0000000000001</v>
      </c>
      <c r="F23" s="190"/>
      <c r="G23" s="190"/>
      <c r="H23" s="190"/>
      <c r="I23" s="190"/>
      <c r="J23" s="191"/>
    </row>
    <row r="24" spans="6:8" ht="13.5" thickBot="1">
      <c r="F24" s="120"/>
      <c r="G24" s="120"/>
      <c r="H24" s="25"/>
    </row>
    <row r="25" spans="1:11" ht="15.75" thickBot="1">
      <c r="A25" s="158"/>
      <c r="B25" s="159">
        <v>1996</v>
      </c>
      <c r="C25" s="159">
        <v>1997</v>
      </c>
      <c r="D25" s="159">
        <v>1998</v>
      </c>
      <c r="E25" s="160">
        <v>1999</v>
      </c>
      <c r="F25" s="121"/>
      <c r="G25" s="121"/>
      <c r="H25" s="121"/>
      <c r="I25" s="84"/>
      <c r="J25" s="84"/>
      <c r="K25" s="84"/>
    </row>
    <row r="26" spans="1:11" ht="15">
      <c r="A26" s="157" t="s">
        <v>62</v>
      </c>
      <c r="B26" s="119">
        <v>355</v>
      </c>
      <c r="C26" s="119">
        <v>376</v>
      </c>
      <c r="D26" s="119">
        <f>'1998'!D25</f>
        <v>351</v>
      </c>
      <c r="E26" s="166">
        <f>B18</f>
        <v>394.83333333333337</v>
      </c>
      <c r="F26" s="121"/>
      <c r="G26" s="121"/>
      <c r="H26" s="121"/>
      <c r="I26" s="86"/>
      <c r="J26" s="84"/>
      <c r="K26" s="84"/>
    </row>
    <row r="27" spans="1:11" ht="15">
      <c r="A27" s="136" t="s">
        <v>52</v>
      </c>
      <c r="B27" s="138">
        <v>2930</v>
      </c>
      <c r="C27" s="138">
        <v>3248</v>
      </c>
      <c r="D27" s="138">
        <f>'1998'!D26</f>
        <v>3609</v>
      </c>
      <c r="E27" s="167">
        <f>C18</f>
        <v>4015.1666666666665</v>
      </c>
      <c r="F27" s="121"/>
      <c r="G27" s="121"/>
      <c r="H27" s="121"/>
      <c r="I27" s="84"/>
      <c r="J27" s="84"/>
      <c r="K27" s="84"/>
    </row>
    <row r="28" spans="1:11" ht="15">
      <c r="A28" s="136" t="s">
        <v>53</v>
      </c>
      <c r="B28" s="137">
        <v>8.3</v>
      </c>
      <c r="C28" s="137">
        <v>8.6</v>
      </c>
      <c r="D28" s="139">
        <f>'1998'!D27</f>
        <v>10.282051282051283</v>
      </c>
      <c r="E28" s="139">
        <f>D18</f>
        <v>10.169269734065004</v>
      </c>
      <c r="F28" s="121"/>
      <c r="G28" s="121"/>
      <c r="H28" s="121"/>
      <c r="I28" s="84"/>
      <c r="J28" s="84"/>
      <c r="K28" s="84"/>
    </row>
    <row r="29" spans="1:11" ht="15">
      <c r="A29" s="136" t="s">
        <v>54</v>
      </c>
      <c r="B29" s="137">
        <v>12</v>
      </c>
      <c r="C29" s="137">
        <v>21</v>
      </c>
      <c r="D29" s="137">
        <f>'1998'!D28</f>
        <v>29</v>
      </c>
      <c r="E29" s="168">
        <f>H18</f>
        <v>30.333333333333332</v>
      </c>
      <c r="F29" s="121"/>
      <c r="G29" s="121"/>
      <c r="H29" s="121"/>
      <c r="I29" s="84"/>
      <c r="J29" s="84"/>
      <c r="K29" s="84"/>
    </row>
    <row r="30" spans="1:11" ht="15">
      <c r="A30" s="136" t="s">
        <v>55</v>
      </c>
      <c r="B30" s="140">
        <v>0.03</v>
      </c>
      <c r="C30" s="140">
        <v>0.06</v>
      </c>
      <c r="D30" s="141">
        <f>'1998'!D29</f>
        <v>0.08262108262108261</v>
      </c>
      <c r="E30" s="141">
        <f>H19</f>
        <v>0.07682566483748415</v>
      </c>
      <c r="F30" s="121"/>
      <c r="G30" s="121"/>
      <c r="H30" s="146"/>
      <c r="I30" s="84"/>
      <c r="J30" s="84"/>
      <c r="K30" s="84"/>
    </row>
    <row r="31" spans="1:11" ht="15">
      <c r="A31" s="121"/>
      <c r="B31" s="121"/>
      <c r="C31" s="121"/>
      <c r="D31" s="121"/>
      <c r="E31" s="121"/>
      <c r="F31" s="121"/>
      <c r="G31" s="121"/>
      <c r="H31" s="121"/>
      <c r="I31" s="84"/>
      <c r="J31" s="84"/>
      <c r="K31" s="84"/>
    </row>
    <row r="32" spans="1:8" ht="12.75">
      <c r="A32" s="122" t="s">
        <v>63</v>
      </c>
      <c r="B32" s="121"/>
      <c r="C32" s="121"/>
      <c r="D32" s="121"/>
      <c r="E32" s="121"/>
      <c r="F32" s="121"/>
      <c r="G32" s="121"/>
      <c r="H32" s="121"/>
    </row>
    <row r="33" spans="1:8" ht="12.75">
      <c r="A33" s="122" t="s">
        <v>64</v>
      </c>
      <c r="B33" s="121"/>
      <c r="C33" s="121"/>
      <c r="D33" s="121"/>
      <c r="E33" s="121"/>
      <c r="F33" s="121"/>
      <c r="G33" s="121"/>
      <c r="H33" s="121"/>
    </row>
    <row r="34" spans="1:11" ht="12.75">
      <c r="A34" t="s">
        <v>65</v>
      </c>
      <c r="B34" s="25"/>
      <c r="C34" s="25"/>
      <c r="D34" s="25"/>
      <c r="E34" s="25"/>
      <c r="F34" s="122"/>
      <c r="G34" s="122"/>
      <c r="H34" s="122"/>
      <c r="I34" s="25"/>
      <c r="J34" s="25"/>
      <c r="K34" s="25"/>
    </row>
    <row r="35" ht="12.75">
      <c r="A35" t="s">
        <v>66</v>
      </c>
    </row>
  </sheetData>
  <printOptions horizontalCentered="1" verticalCentered="1"/>
  <pageMargins left="0.75" right="0.75" top="1" bottom="1" header="0.5" footer="0.5"/>
  <pageSetup horizontalDpi="300" verticalDpi="300" orientation="landscape" scale="94" r:id="rId1"/>
  <headerFooter alignWithMargins="0">
    <oddHeader>&amp;C&amp;A</oddHeader>
    <oddFooter>&amp;CPrepared by Jim Steele &amp;D&amp;RPage &amp;P</oddFooter>
  </headerFooter>
</worksheet>
</file>

<file path=xl/worksheets/sheet4.xml><?xml version="1.0" encoding="utf-8"?>
<worksheet xmlns="http://schemas.openxmlformats.org/spreadsheetml/2006/main" xmlns:r="http://schemas.openxmlformats.org/officeDocument/2006/relationships">
  <dimension ref="A1:K35"/>
  <sheetViews>
    <sheetView zoomScale="88" zoomScaleNormal="88" workbookViewId="0" topLeftCell="A3">
      <selection activeCell="D51" sqref="D51"/>
    </sheetView>
  </sheetViews>
  <sheetFormatPr defaultColWidth="9.140625" defaultRowHeight="12.75"/>
  <cols>
    <col min="1" max="1" width="22.421875" style="0" customWidth="1"/>
    <col min="2" max="2" width="12.00390625" style="0" customWidth="1"/>
    <col min="3" max="3" width="10.28125" style="0" customWidth="1"/>
    <col min="5" max="5" width="9.8515625" style="0" customWidth="1"/>
    <col min="6" max="6" width="10.421875" style="0" customWidth="1"/>
    <col min="7" max="7" width="10.57421875" style="0" customWidth="1"/>
    <col min="9" max="9" width="9.28125" style="0" customWidth="1"/>
    <col min="10" max="10" width="14.28125" style="0" customWidth="1"/>
    <col min="11" max="11" width="11.7109375" style="0" customWidth="1"/>
  </cols>
  <sheetData>
    <row r="1" spans="1:11" ht="33">
      <c r="A1" s="40" t="s">
        <v>30</v>
      </c>
      <c r="B1" s="147"/>
      <c r="C1" s="147"/>
      <c r="D1" s="147"/>
      <c r="E1" s="147"/>
      <c r="F1" s="147"/>
      <c r="G1" s="147"/>
      <c r="H1" s="147"/>
      <c r="I1" s="147"/>
      <c r="J1" s="148"/>
      <c r="K1" s="142"/>
    </row>
    <row r="2" spans="1:11" ht="13.5" thickBot="1">
      <c r="A2" s="43"/>
      <c r="B2" s="44"/>
      <c r="C2" s="44"/>
      <c r="D2" s="44"/>
      <c r="E2" s="44"/>
      <c r="F2" s="44"/>
      <c r="G2" s="44"/>
      <c r="H2" s="44"/>
      <c r="I2" s="44"/>
      <c r="J2" s="45"/>
      <c r="K2" s="25"/>
    </row>
    <row r="3" spans="1:10" ht="13.5" thickBot="1">
      <c r="A3" s="112"/>
      <c r="B3" s="113"/>
      <c r="C3" s="113"/>
      <c r="D3" s="178"/>
      <c r="E3" s="94" t="s">
        <v>31</v>
      </c>
      <c r="F3" s="95"/>
      <c r="G3" s="95"/>
      <c r="H3" s="95"/>
      <c r="I3" s="230" t="s">
        <v>67</v>
      </c>
      <c r="J3" s="231"/>
    </row>
    <row r="4" spans="1:10" ht="12.75">
      <c r="A4" s="169"/>
      <c r="B4" s="177" t="s">
        <v>68</v>
      </c>
      <c r="C4" s="177" t="s">
        <v>34</v>
      </c>
      <c r="D4" s="177" t="s">
        <v>35</v>
      </c>
      <c r="E4" s="24" t="s">
        <v>36</v>
      </c>
      <c r="F4" s="114" t="s">
        <v>37</v>
      </c>
      <c r="G4" s="24" t="s">
        <v>38</v>
      </c>
      <c r="H4" s="123" t="s">
        <v>39</v>
      </c>
      <c r="I4" s="124" t="s">
        <v>69</v>
      </c>
      <c r="J4" s="125"/>
    </row>
    <row r="5" spans="1:10" ht="12.75">
      <c r="A5" s="207" t="s">
        <v>70</v>
      </c>
      <c r="B5" s="116" t="s">
        <v>4</v>
      </c>
      <c r="C5" s="116" t="s">
        <v>40</v>
      </c>
      <c r="D5" s="116" t="s">
        <v>41</v>
      </c>
      <c r="E5" s="24" t="s">
        <v>41</v>
      </c>
      <c r="F5" s="114" t="s">
        <v>41</v>
      </c>
      <c r="G5" s="24" t="s">
        <v>41</v>
      </c>
      <c r="H5" s="123" t="s">
        <v>41</v>
      </c>
      <c r="I5" s="126" t="s">
        <v>42</v>
      </c>
      <c r="J5" s="127" t="s">
        <v>43</v>
      </c>
    </row>
    <row r="6" spans="1:10" ht="12.75">
      <c r="A6" s="170" t="s">
        <v>11</v>
      </c>
      <c r="B6" s="116">
        <f>SUM(E6:H6)</f>
        <v>42</v>
      </c>
      <c r="C6" s="116">
        <f>1+5+12+13+13+13+14+18+20+23+37+19+13+17+18+24+4+19+24+33+29+7+5+8+9+14+15+15+16+19</f>
        <v>477</v>
      </c>
      <c r="D6" s="176">
        <f aca="true" t="shared" si="0" ref="D6:D16">IF(B6=0,0,C6/B6)</f>
        <v>11.357142857142858</v>
      </c>
      <c r="E6" s="115">
        <v>11</v>
      </c>
      <c r="F6" s="116">
        <v>8</v>
      </c>
      <c r="G6" s="115">
        <v>17</v>
      </c>
      <c r="H6" s="128">
        <v>6</v>
      </c>
      <c r="I6" s="126">
        <v>13</v>
      </c>
      <c r="J6" s="129">
        <v>6</v>
      </c>
    </row>
    <row r="7" spans="1:10" ht="12.75">
      <c r="A7" s="171" t="s">
        <v>12</v>
      </c>
      <c r="B7" s="116">
        <f aca="true" t="shared" si="1" ref="B7:B16">SUM(E7:H7)</f>
        <v>27</v>
      </c>
      <c r="C7" s="116">
        <f>1+6+12+4+7+10+14+18+36+5+9+16+8+10+10+11+12+15+17+24+24+8</f>
        <v>277</v>
      </c>
      <c r="D7" s="176">
        <f t="shared" si="0"/>
        <v>10.25925925925926</v>
      </c>
      <c r="E7" s="24">
        <v>11</v>
      </c>
      <c r="F7" s="114">
        <v>6</v>
      </c>
      <c r="G7" s="24">
        <v>7</v>
      </c>
      <c r="H7" s="123">
        <v>3</v>
      </c>
      <c r="I7" s="126">
        <v>40</v>
      </c>
      <c r="J7" s="129">
        <v>6</v>
      </c>
    </row>
    <row r="8" spans="1:10" ht="12.75">
      <c r="A8" s="170" t="s">
        <v>13</v>
      </c>
      <c r="B8" s="116">
        <f>SUM(E8:H8)</f>
        <v>21</v>
      </c>
      <c r="C8" s="116">
        <f>8+10+12+20+21+5+6+11+23+6+8+10+11+16+20+23+9+9+13+19</f>
        <v>260</v>
      </c>
      <c r="D8" s="176">
        <f t="shared" si="0"/>
        <v>12.380952380952381</v>
      </c>
      <c r="E8" s="115">
        <v>4</v>
      </c>
      <c r="F8" s="116">
        <v>6</v>
      </c>
      <c r="G8" s="115">
        <v>6</v>
      </c>
      <c r="H8" s="128">
        <v>5</v>
      </c>
      <c r="I8" s="126">
        <v>26</v>
      </c>
      <c r="J8" s="129">
        <v>6</v>
      </c>
    </row>
    <row r="9" spans="1:10" ht="12.75">
      <c r="A9" s="172" t="s">
        <v>14</v>
      </c>
      <c r="B9" s="116">
        <f t="shared" si="1"/>
        <v>23</v>
      </c>
      <c r="C9" s="116">
        <f>8+15+20+1+11+12+14+17+1+2+5+6+10+10+13+15+19+22+6+12+14+16+24</f>
        <v>273</v>
      </c>
      <c r="D9" s="176">
        <f t="shared" si="0"/>
        <v>11.869565217391305</v>
      </c>
      <c r="E9" s="24">
        <v>4</v>
      </c>
      <c r="F9" s="114">
        <v>5</v>
      </c>
      <c r="G9" s="24">
        <v>11</v>
      </c>
      <c r="H9" s="123">
        <v>3</v>
      </c>
      <c r="I9" s="126">
        <v>22</v>
      </c>
      <c r="J9" s="129">
        <v>3</v>
      </c>
    </row>
    <row r="10" spans="1:10" ht="12.75">
      <c r="A10" s="170" t="s">
        <v>15</v>
      </c>
      <c r="B10" s="116">
        <f t="shared" si="1"/>
        <v>29</v>
      </c>
      <c r="C10" s="116">
        <f>32+2+3+6+10+12+14+18+2+2+5+10+11+16+4+7+9+12+12+9+10+11+20</f>
        <v>237</v>
      </c>
      <c r="D10" s="176">
        <f t="shared" si="0"/>
        <v>8.172413793103448</v>
      </c>
      <c r="E10" s="115">
        <v>9</v>
      </c>
      <c r="F10" s="116">
        <v>11</v>
      </c>
      <c r="G10" s="115">
        <v>8</v>
      </c>
      <c r="H10" s="128">
        <v>1</v>
      </c>
      <c r="I10" s="126">
        <v>24</v>
      </c>
      <c r="J10" s="129">
        <v>13</v>
      </c>
    </row>
    <row r="11" spans="1:10" ht="12.75">
      <c r="A11" s="173" t="s">
        <v>16</v>
      </c>
      <c r="B11" s="116">
        <f t="shared" si="1"/>
        <v>35</v>
      </c>
      <c r="C11" s="116">
        <f>2+2+4+13+11+13+14+17+17+19+24+5+5+9+15+15+15+18+19+3+3+3+5+12+7+11+14+16+17+2+22</f>
        <v>352</v>
      </c>
      <c r="D11" s="176">
        <f t="shared" si="0"/>
        <v>10.057142857142857</v>
      </c>
      <c r="E11" s="24">
        <f>11+1</f>
        <v>12</v>
      </c>
      <c r="F11" s="114">
        <v>6</v>
      </c>
      <c r="G11" s="24">
        <v>15</v>
      </c>
      <c r="H11" s="123">
        <v>2</v>
      </c>
      <c r="I11" s="126">
        <f>17+7</f>
        <v>24</v>
      </c>
      <c r="J11" s="129">
        <v>3</v>
      </c>
    </row>
    <row r="12" spans="1:10" ht="12.75">
      <c r="A12" s="170" t="s">
        <v>17</v>
      </c>
      <c r="B12" s="162">
        <f t="shared" si="1"/>
        <v>28</v>
      </c>
      <c r="C12" s="162">
        <f>4+9+9+2+2+3+9+10+12+13+14+18+4+7+10+11+11+11+15+27+4+12+16+25</f>
        <v>258</v>
      </c>
      <c r="D12" s="176">
        <f t="shared" si="0"/>
        <v>9.214285714285714</v>
      </c>
      <c r="E12" s="161">
        <v>11</v>
      </c>
      <c r="F12" s="162">
        <v>5</v>
      </c>
      <c r="G12" s="161">
        <v>10</v>
      </c>
      <c r="H12" s="163">
        <v>2</v>
      </c>
      <c r="I12" s="164">
        <v>24</v>
      </c>
      <c r="J12" s="165">
        <v>4</v>
      </c>
    </row>
    <row r="13" spans="1:10" ht="12.75">
      <c r="A13" s="171" t="s">
        <v>18</v>
      </c>
      <c r="B13" s="116">
        <f t="shared" si="1"/>
        <v>29</v>
      </c>
      <c r="C13" s="116">
        <f>1+4+3+6+13+19+20+16+13+15+19+23+25+4+11+13+24+5+11+20+3+12+16+17</f>
        <v>313</v>
      </c>
      <c r="D13" s="176">
        <f t="shared" si="0"/>
        <v>10.793103448275861</v>
      </c>
      <c r="E13" s="24">
        <v>11</v>
      </c>
      <c r="F13" s="114">
        <v>1</v>
      </c>
      <c r="G13" s="24">
        <v>12</v>
      </c>
      <c r="H13" s="123">
        <v>5</v>
      </c>
      <c r="I13" s="126">
        <v>39</v>
      </c>
      <c r="J13" s="129">
        <v>13</v>
      </c>
    </row>
    <row r="14" spans="1:10" ht="12.75">
      <c r="A14" s="170" t="s">
        <v>19</v>
      </c>
      <c r="B14" s="116">
        <f t="shared" si="1"/>
        <v>28</v>
      </c>
      <c r="C14" s="116">
        <f>10+12+21+19+17+21+4+13+20+15+17+35+3+5+7+8+10+13+15+23</f>
        <v>288</v>
      </c>
      <c r="D14" s="176">
        <f t="shared" si="0"/>
        <v>10.285714285714286</v>
      </c>
      <c r="E14" s="115">
        <v>10</v>
      </c>
      <c r="F14" s="116">
        <v>6</v>
      </c>
      <c r="G14" s="115">
        <v>8</v>
      </c>
      <c r="H14" s="128">
        <v>4</v>
      </c>
      <c r="I14" s="126">
        <v>30</v>
      </c>
      <c r="J14" s="129">
        <v>3</v>
      </c>
    </row>
    <row r="15" spans="1:10" ht="12.75">
      <c r="A15" s="172" t="s">
        <v>20</v>
      </c>
      <c r="B15" s="116">
        <f t="shared" si="1"/>
        <v>38</v>
      </c>
      <c r="C15" s="116">
        <f>1+4+6+17+8+2+23+24+9+7+11+27+28+28+19+22+19+10+4+7+10+21+14+17+19+6+8+6+10+13+16</f>
        <v>416</v>
      </c>
      <c r="D15" s="176">
        <f t="shared" si="0"/>
        <v>10.947368421052632</v>
      </c>
      <c r="E15" s="24">
        <v>14</v>
      </c>
      <c r="F15" s="114">
        <v>9</v>
      </c>
      <c r="G15" s="24">
        <v>13</v>
      </c>
      <c r="H15" s="123">
        <v>2</v>
      </c>
      <c r="I15" s="126">
        <v>30</v>
      </c>
      <c r="J15" s="129">
        <v>7</v>
      </c>
    </row>
    <row r="16" spans="1:10" ht="12.75">
      <c r="A16" s="170" t="s">
        <v>21</v>
      </c>
      <c r="B16" s="116">
        <f t="shared" si="1"/>
        <v>43</v>
      </c>
      <c r="C16" s="116">
        <f>3+2+6+10+13+15+18+3+17+21+12+29+17+22+5+7+6+18+18+23+6+5+6+7+10+12+16+16+17+21+24</f>
        <v>405</v>
      </c>
      <c r="D16" s="176">
        <f t="shared" si="0"/>
        <v>9.418604651162791</v>
      </c>
      <c r="E16" s="115">
        <v>20</v>
      </c>
      <c r="F16" s="116">
        <v>8</v>
      </c>
      <c r="G16" s="115">
        <v>11</v>
      </c>
      <c r="H16" s="128">
        <v>4</v>
      </c>
      <c r="I16" s="126">
        <v>38</v>
      </c>
      <c r="J16" s="129">
        <v>8</v>
      </c>
    </row>
    <row r="17" spans="1:10" ht="13.5" thickBot="1">
      <c r="A17" s="171" t="s">
        <v>22</v>
      </c>
      <c r="B17" s="118">
        <f>SUM(E17:H17)</f>
        <v>17</v>
      </c>
      <c r="C17" s="118">
        <f>3+9+10+15+15+19+3+12+13+19+19+23+11+12+13+14+15</f>
        <v>225</v>
      </c>
      <c r="D17" s="179">
        <f>IF(B17=0,0,C17/B17)</f>
        <v>13.235294117647058</v>
      </c>
      <c r="E17" s="117">
        <v>2</v>
      </c>
      <c r="F17" s="118">
        <v>2</v>
      </c>
      <c r="G17" s="117">
        <v>12</v>
      </c>
      <c r="H17" s="130">
        <v>1</v>
      </c>
      <c r="I17" s="131">
        <v>33</v>
      </c>
      <c r="J17" s="132">
        <v>2</v>
      </c>
    </row>
    <row r="18" spans="1:10" ht="14.25" thickBot="1" thickTop="1">
      <c r="A18" s="180" t="s">
        <v>46</v>
      </c>
      <c r="B18" s="208">
        <f>SUM(B6:B17)</f>
        <v>360</v>
      </c>
      <c r="C18" s="208">
        <f>SUM(C6:C17)</f>
        <v>3781</v>
      </c>
      <c r="D18" s="209">
        <f>C18/B18</f>
        <v>10.502777777777778</v>
      </c>
      <c r="E18" s="210">
        <f aca="true" t="shared" si="2" ref="E18:J18">SUM(E6:E17)</f>
        <v>119</v>
      </c>
      <c r="F18" s="208">
        <f t="shared" si="2"/>
        <v>73</v>
      </c>
      <c r="G18" s="210">
        <f t="shared" si="2"/>
        <v>130</v>
      </c>
      <c r="H18" s="211">
        <f t="shared" si="2"/>
        <v>38</v>
      </c>
      <c r="I18" s="237">
        <f t="shared" si="2"/>
        <v>343</v>
      </c>
      <c r="J18" s="238">
        <f t="shared" si="2"/>
        <v>74</v>
      </c>
    </row>
    <row r="19" spans="1:11" ht="12.75">
      <c r="A19" s="174" t="s">
        <v>59</v>
      </c>
      <c r="B19" s="133"/>
      <c r="C19" s="133"/>
      <c r="D19" s="152"/>
      <c r="E19" s="212">
        <f>E18/$B$18</f>
        <v>0.33055555555555555</v>
      </c>
      <c r="F19" s="212">
        <f>F18/$B$18</f>
        <v>0.20277777777777778</v>
      </c>
      <c r="G19" s="212">
        <f>G18/$B$18</f>
        <v>0.3611111111111111</v>
      </c>
      <c r="H19" s="213">
        <f>H18/$B$18</f>
        <v>0.10555555555555556</v>
      </c>
      <c r="I19" s="235" t="s">
        <v>71</v>
      </c>
      <c r="J19" s="236"/>
      <c r="K19" s="143"/>
    </row>
    <row r="20" spans="1:11" ht="13.5" thickBot="1">
      <c r="A20" s="174" t="s">
        <v>48</v>
      </c>
      <c r="B20" s="133"/>
      <c r="C20" s="133"/>
      <c r="D20" s="133"/>
      <c r="E20" s="153"/>
      <c r="F20" s="214">
        <f>SUM(F19:H19)</f>
        <v>0.6694444444444444</v>
      </c>
      <c r="G20" s="215"/>
      <c r="H20" s="215"/>
      <c r="I20" s="239">
        <f>I18/53</f>
        <v>6.471698113207547</v>
      </c>
      <c r="J20" s="241">
        <f>J18/53</f>
        <v>1.3962264150943395</v>
      </c>
      <c r="K20" s="143"/>
    </row>
    <row r="21" spans="1:11" ht="15">
      <c r="A21" s="198" t="s">
        <v>49</v>
      </c>
      <c r="B21" s="199"/>
      <c r="C21" s="199"/>
      <c r="D21" s="133"/>
      <c r="E21" s="214">
        <f>SUM(E19:F19)</f>
        <v>0.5333333333333333</v>
      </c>
      <c r="F21" s="216"/>
      <c r="G21" s="214">
        <f>SUM(G19:H19)</f>
        <v>0.4666666666666667</v>
      </c>
      <c r="H21" s="215"/>
      <c r="I21" s="240"/>
      <c r="J21" s="151"/>
      <c r="K21" s="144"/>
    </row>
    <row r="22" spans="1:10" ht="12.75">
      <c r="A22" s="174" t="s">
        <v>60</v>
      </c>
      <c r="B22" s="133"/>
      <c r="C22" s="133"/>
      <c r="D22" s="152"/>
      <c r="E22" s="217">
        <f>B18/(E18+F18+G18+H18+I18+J18)</f>
        <v>0.46332046332046334</v>
      </c>
      <c r="F22" s="217"/>
      <c r="G22" s="217"/>
      <c r="H22" s="234"/>
      <c r="I22" s="218">
        <f>($I$18+$J$18)/($B$18+$I$18+$J$18)</f>
        <v>0.5366795366795367</v>
      </c>
      <c r="J22" s="219"/>
    </row>
    <row r="23" spans="1:10" ht="13.5" thickBot="1">
      <c r="A23" s="195" t="s">
        <v>61</v>
      </c>
      <c r="B23" s="196"/>
      <c r="C23" s="196"/>
      <c r="D23" s="200"/>
      <c r="E23" s="232">
        <f>SUM(B18+I18+J18)</f>
        <v>777</v>
      </c>
      <c r="F23" s="229"/>
      <c r="G23" s="229"/>
      <c r="H23" s="229"/>
      <c r="I23" s="229"/>
      <c r="J23" s="233"/>
    </row>
    <row r="24" spans="1:10" ht="13.5" thickBot="1">
      <c r="A24" s="149"/>
      <c r="B24" s="25"/>
      <c r="C24" s="25"/>
      <c r="D24" s="25"/>
      <c r="E24" s="25"/>
      <c r="F24" s="120"/>
      <c r="G24" s="120"/>
      <c r="H24" s="25"/>
      <c r="I24" s="25"/>
      <c r="J24" s="175"/>
    </row>
    <row r="25" spans="1:11" ht="15.75" thickBot="1">
      <c r="A25" s="158"/>
      <c r="B25" s="159">
        <v>1996</v>
      </c>
      <c r="C25" s="159">
        <v>1997</v>
      </c>
      <c r="D25" s="159">
        <v>1998</v>
      </c>
      <c r="E25" s="159">
        <v>1999</v>
      </c>
      <c r="F25" s="201">
        <v>2000</v>
      </c>
      <c r="G25" s="122"/>
      <c r="H25" s="122"/>
      <c r="I25" s="86"/>
      <c r="J25" s="202"/>
      <c r="K25" s="84"/>
    </row>
    <row r="26" spans="1:11" ht="15">
      <c r="A26" s="203" t="s">
        <v>62</v>
      </c>
      <c r="B26" s="220">
        <v>355</v>
      </c>
      <c r="C26" s="220">
        <v>376</v>
      </c>
      <c r="D26" s="220">
        <f>'1998'!D25</f>
        <v>351</v>
      </c>
      <c r="E26" s="221">
        <f>'1999'!B18</f>
        <v>394.83333333333337</v>
      </c>
      <c r="F26" s="221">
        <f>B18</f>
        <v>360</v>
      </c>
      <c r="G26" s="122"/>
      <c r="H26" s="122"/>
      <c r="I26" s="86"/>
      <c r="J26" s="202"/>
      <c r="K26" s="84"/>
    </row>
    <row r="27" spans="1:11" ht="15">
      <c r="A27" s="204" t="s">
        <v>52</v>
      </c>
      <c r="B27" s="222">
        <v>2930</v>
      </c>
      <c r="C27" s="222">
        <v>3248</v>
      </c>
      <c r="D27" s="222">
        <f>'1998'!D26</f>
        <v>3609</v>
      </c>
      <c r="E27" s="223">
        <f>'1999'!C18</f>
        <v>4015.1666666666665</v>
      </c>
      <c r="F27" s="224">
        <f>C18</f>
        <v>3781</v>
      </c>
      <c r="G27" s="122"/>
      <c r="H27" s="122"/>
      <c r="I27" s="86"/>
      <c r="J27" s="202"/>
      <c r="K27" s="84"/>
    </row>
    <row r="28" spans="1:11" ht="15">
      <c r="A28" s="204" t="s">
        <v>53</v>
      </c>
      <c r="B28" s="225">
        <v>8.3</v>
      </c>
      <c r="C28" s="225">
        <v>8.6</v>
      </c>
      <c r="D28" s="226">
        <f>'1998'!D27</f>
        <v>10.282051282051283</v>
      </c>
      <c r="E28" s="226">
        <f>'1999'!D18</f>
        <v>10.169269734065004</v>
      </c>
      <c r="F28" s="226">
        <f>D18</f>
        <v>10.502777777777778</v>
      </c>
      <c r="G28" s="122"/>
      <c r="H28" s="122"/>
      <c r="I28" s="86"/>
      <c r="J28" s="202"/>
      <c r="K28" s="84"/>
    </row>
    <row r="29" spans="1:11" ht="15">
      <c r="A29" s="204" t="s">
        <v>54</v>
      </c>
      <c r="B29" s="225">
        <v>12</v>
      </c>
      <c r="C29" s="225">
        <v>21</v>
      </c>
      <c r="D29" s="225">
        <f>'1998'!D28</f>
        <v>29</v>
      </c>
      <c r="E29" s="224">
        <f>'1999'!H18</f>
        <v>30.333333333333332</v>
      </c>
      <c r="F29" s="224">
        <f>H18</f>
        <v>38</v>
      </c>
      <c r="G29" s="122"/>
      <c r="H29" s="122"/>
      <c r="I29" s="86"/>
      <c r="J29" s="202"/>
      <c r="K29" s="84"/>
    </row>
    <row r="30" spans="1:11" ht="15">
      <c r="A30" s="204" t="s">
        <v>55</v>
      </c>
      <c r="B30" s="227">
        <v>0.03</v>
      </c>
      <c r="C30" s="227">
        <v>0.06</v>
      </c>
      <c r="D30" s="228">
        <f>'1998'!D29</f>
        <v>0.08262108262108261</v>
      </c>
      <c r="E30" s="228">
        <f>'1999'!H19</f>
        <v>0.07682566483748415</v>
      </c>
      <c r="F30" s="228">
        <f>H19</f>
        <v>0.10555555555555556</v>
      </c>
      <c r="G30" s="122"/>
      <c r="H30" s="143"/>
      <c r="I30" s="86"/>
      <c r="J30" s="202"/>
      <c r="K30" s="84"/>
    </row>
    <row r="31" spans="1:11" ht="15">
      <c r="A31" s="173"/>
      <c r="B31" s="122"/>
      <c r="C31" s="122"/>
      <c r="D31" s="122"/>
      <c r="E31" s="122"/>
      <c r="F31" s="122"/>
      <c r="G31" s="122"/>
      <c r="H31" s="122"/>
      <c r="I31" s="86"/>
      <c r="J31" s="202"/>
      <c r="K31" s="84"/>
    </row>
    <row r="32" spans="1:10" ht="12.75">
      <c r="A32" s="173" t="s">
        <v>72</v>
      </c>
      <c r="B32" s="122"/>
      <c r="C32" s="122"/>
      <c r="D32" s="122"/>
      <c r="E32" s="122"/>
      <c r="F32" s="122"/>
      <c r="G32" s="122"/>
      <c r="H32" s="122"/>
      <c r="I32" s="25"/>
      <c r="J32" s="175"/>
    </row>
    <row r="33" spans="1:10" ht="12.75">
      <c r="A33" s="173" t="s">
        <v>73</v>
      </c>
      <c r="B33" s="122"/>
      <c r="C33" s="122"/>
      <c r="D33" s="122"/>
      <c r="E33" s="122"/>
      <c r="F33" s="122"/>
      <c r="G33" s="122"/>
      <c r="H33" s="122"/>
      <c r="I33" s="25"/>
      <c r="J33" s="175"/>
    </row>
    <row r="34" spans="1:11" ht="12.75">
      <c r="A34" s="149" t="s">
        <v>74</v>
      </c>
      <c r="B34" s="25"/>
      <c r="C34" s="25"/>
      <c r="D34" s="25"/>
      <c r="E34" s="25"/>
      <c r="F34" s="122"/>
      <c r="G34" s="122"/>
      <c r="H34" s="122"/>
      <c r="I34" s="25"/>
      <c r="J34" s="175"/>
      <c r="K34" s="25"/>
    </row>
    <row r="35" spans="1:10" ht="13.5" thickBot="1">
      <c r="A35" s="205" t="s">
        <v>75</v>
      </c>
      <c r="B35" s="197"/>
      <c r="C35" s="197"/>
      <c r="D35" s="197"/>
      <c r="E35" s="197"/>
      <c r="F35" s="197"/>
      <c r="G35" s="197"/>
      <c r="H35" s="197"/>
      <c r="I35" s="197"/>
      <c r="J35" s="206"/>
    </row>
  </sheetData>
  <printOptions/>
  <pageMargins left="0.75" right="0.75" top="1" bottom="1" header="0.5" footer="0.5"/>
  <pageSetup horizontalDpi="300" verticalDpi="300" orientation="portrait" scale="7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35"/>
  <sheetViews>
    <sheetView zoomScale="85" zoomScaleNormal="85" workbookViewId="0" topLeftCell="A1">
      <selection activeCell="D51" sqref="D51"/>
    </sheetView>
  </sheetViews>
  <sheetFormatPr defaultColWidth="9.140625" defaultRowHeight="12.75"/>
  <cols>
    <col min="1" max="1" width="28.57421875" style="0" customWidth="1"/>
    <col min="2" max="2" width="11.7109375" style="0" customWidth="1"/>
    <col min="3" max="3" width="10.421875" style="0" customWidth="1"/>
    <col min="4" max="4" width="11.8515625" style="0" customWidth="1"/>
    <col min="5" max="5" width="11.00390625" style="0" customWidth="1"/>
    <col min="6" max="6" width="12.28125" style="0" customWidth="1"/>
    <col min="7" max="7" width="13.57421875" style="0" customWidth="1"/>
    <col min="8" max="8" width="11.00390625" style="0" customWidth="1"/>
    <col min="9" max="9" width="10.57421875" style="0" customWidth="1"/>
    <col min="10" max="10" width="12.00390625" style="0" customWidth="1"/>
  </cols>
  <sheetData>
    <row r="1" spans="1:10" ht="33">
      <c r="A1" s="40" t="s">
        <v>30</v>
      </c>
      <c r="B1" s="147"/>
      <c r="C1" s="147"/>
      <c r="D1" s="147"/>
      <c r="E1" s="147"/>
      <c r="F1" s="147"/>
      <c r="G1" s="147"/>
      <c r="H1" s="147"/>
      <c r="I1" s="147"/>
      <c r="J1" s="148"/>
    </row>
    <row r="2" spans="1:10" ht="13.5" thickBot="1">
      <c r="A2" s="43"/>
      <c r="B2" s="44"/>
      <c r="C2" s="44"/>
      <c r="D2" s="44"/>
      <c r="E2" s="44"/>
      <c r="F2" s="44"/>
      <c r="G2" s="44"/>
      <c r="H2" s="44"/>
      <c r="I2" s="44"/>
      <c r="J2" s="45"/>
    </row>
    <row r="3" spans="1:10" ht="13.5" thickBot="1">
      <c r="A3" s="112"/>
      <c r="B3" s="113"/>
      <c r="C3" s="113"/>
      <c r="D3" s="178"/>
      <c r="E3" s="94" t="s">
        <v>31</v>
      </c>
      <c r="F3" s="95"/>
      <c r="G3" s="95"/>
      <c r="H3" s="96"/>
      <c r="I3" s="230" t="s">
        <v>76</v>
      </c>
      <c r="J3" s="231"/>
    </row>
    <row r="4" spans="1:10" ht="12.75">
      <c r="A4" s="169"/>
      <c r="B4" s="177" t="s">
        <v>68</v>
      </c>
      <c r="C4" s="177" t="s">
        <v>34</v>
      </c>
      <c r="D4" s="177" t="s">
        <v>35</v>
      </c>
      <c r="E4" s="24" t="s">
        <v>36</v>
      </c>
      <c r="F4" s="114" t="s">
        <v>37</v>
      </c>
      <c r="G4" s="24" t="s">
        <v>38</v>
      </c>
      <c r="H4" s="247" t="s">
        <v>39</v>
      </c>
      <c r="I4" s="124" t="s">
        <v>77</v>
      </c>
      <c r="J4" s="125"/>
    </row>
    <row r="5" spans="1:10" ht="12.75">
      <c r="A5" s="207" t="s">
        <v>70</v>
      </c>
      <c r="B5" s="116" t="s">
        <v>4</v>
      </c>
      <c r="C5" s="116" t="s">
        <v>40</v>
      </c>
      <c r="D5" s="116" t="s">
        <v>41</v>
      </c>
      <c r="E5" s="24" t="s">
        <v>41</v>
      </c>
      <c r="F5" s="114" t="s">
        <v>41</v>
      </c>
      <c r="G5" s="24" t="s">
        <v>41</v>
      </c>
      <c r="H5" s="247" t="s">
        <v>41</v>
      </c>
      <c r="I5" s="126" t="s">
        <v>42</v>
      </c>
      <c r="J5" s="127" t="s">
        <v>43</v>
      </c>
    </row>
    <row r="6" spans="1:10" ht="12.75">
      <c r="A6" s="170" t="s">
        <v>11</v>
      </c>
      <c r="B6" s="116">
        <f>SUM(E6:H6)</f>
        <v>42</v>
      </c>
      <c r="C6" s="116">
        <f>5+6+6+19+23+14+15+18+27+37+30+14+18+19+12+14+15+17+21+3+3+4+19+24+16+16+17+20+30+4</f>
        <v>486</v>
      </c>
      <c r="D6" s="176">
        <f aca="true" t="shared" si="0" ref="D6:D16">IF(B6=0,0,C6/B6)</f>
        <v>11.571428571428571</v>
      </c>
      <c r="E6" s="115">
        <v>12</v>
      </c>
      <c r="F6" s="116">
        <v>8</v>
      </c>
      <c r="G6" s="115">
        <v>17</v>
      </c>
      <c r="H6" s="129">
        <v>5</v>
      </c>
      <c r="I6" s="164">
        <f>52/5</f>
        <v>10.4</v>
      </c>
      <c r="J6" s="129">
        <f>10/5</f>
        <v>2</v>
      </c>
    </row>
    <row r="7" spans="1:10" ht="12.75">
      <c r="A7" s="171" t="s">
        <v>12</v>
      </c>
      <c r="B7" s="116">
        <f aca="true" t="shared" si="1" ref="B7:B16">SUM(E7:H7)</f>
        <v>24</v>
      </c>
      <c r="C7" s="116">
        <f>4+13+19+19+37+4+5+6+6+7+9+11+11+17+18+25+1+3+8+12+25+5+14+21</f>
        <v>300</v>
      </c>
      <c r="D7" s="176">
        <f t="shared" si="0"/>
        <v>12.5</v>
      </c>
      <c r="E7" s="24">
        <v>6</v>
      </c>
      <c r="F7" s="114">
        <v>5</v>
      </c>
      <c r="G7" s="24">
        <v>9</v>
      </c>
      <c r="H7" s="247">
        <v>4</v>
      </c>
      <c r="I7" s="164">
        <f>33/4</f>
        <v>8.25</v>
      </c>
      <c r="J7" s="165">
        <f>11/4</f>
        <v>2.75</v>
      </c>
    </row>
    <row r="8" spans="1:10" ht="12.75">
      <c r="A8" s="170" t="s">
        <v>13</v>
      </c>
      <c r="B8" s="116">
        <f>SUM(E8:H8)</f>
        <v>20</v>
      </c>
      <c r="C8" s="116">
        <f>1+5+7+7+7+14+18+3+12+3+17+21+24+1+4+7+9+10+14+20</f>
        <v>204</v>
      </c>
      <c r="D8" s="176">
        <f t="shared" si="0"/>
        <v>10.2</v>
      </c>
      <c r="E8" s="115">
        <v>6</v>
      </c>
      <c r="F8" s="116">
        <v>6</v>
      </c>
      <c r="G8" s="115">
        <v>5</v>
      </c>
      <c r="H8" s="129">
        <v>3</v>
      </c>
      <c r="I8" s="164">
        <f>38/4</f>
        <v>9.5</v>
      </c>
      <c r="J8" s="165">
        <f>7/4</f>
        <v>1.75</v>
      </c>
    </row>
    <row r="9" spans="1:10" ht="12.75">
      <c r="A9" s="172" t="s">
        <v>14</v>
      </c>
      <c r="B9" s="116">
        <f t="shared" si="1"/>
        <v>22</v>
      </c>
      <c r="C9" s="116">
        <f>9+11+12+18+21+3+7+7+11+17+20+1+6+13+15+10+11+17+20</f>
        <v>229</v>
      </c>
      <c r="D9" s="176">
        <f t="shared" si="0"/>
        <v>10.409090909090908</v>
      </c>
      <c r="E9" s="24">
        <v>5</v>
      </c>
      <c r="F9" s="114">
        <v>5</v>
      </c>
      <c r="G9" s="24">
        <v>9</v>
      </c>
      <c r="H9" s="247">
        <v>3</v>
      </c>
      <c r="I9" s="126">
        <f>40/4</f>
        <v>10</v>
      </c>
      <c r="J9" s="165">
        <f>11/4</f>
        <v>2.75</v>
      </c>
    </row>
    <row r="10" spans="1:10" ht="12.75">
      <c r="A10" s="170" t="s">
        <v>15</v>
      </c>
      <c r="B10" s="116">
        <f t="shared" si="1"/>
        <v>37</v>
      </c>
      <c r="C10" s="116">
        <f>1+7+11+15+19+25+1+2+4+11+14+15+1+2+3+3+4+6+11+11+12+12+14+15+17+19+1+7+8+13+19+1+7+8+13+3+4+7+10+12+12+15</f>
        <v>395</v>
      </c>
      <c r="D10" s="176">
        <f t="shared" si="0"/>
        <v>10.675675675675675</v>
      </c>
      <c r="E10" s="115">
        <v>12</v>
      </c>
      <c r="F10" s="116">
        <v>6</v>
      </c>
      <c r="G10" s="115">
        <v>18</v>
      </c>
      <c r="H10" s="129">
        <v>1</v>
      </c>
      <c r="I10" s="126">
        <f>35/5</f>
        <v>7</v>
      </c>
      <c r="J10" s="165">
        <f>13/5</f>
        <v>2.6</v>
      </c>
    </row>
    <row r="11" spans="1:10" ht="12.75">
      <c r="A11" s="173" t="s">
        <v>16</v>
      </c>
      <c r="B11" s="116">
        <f t="shared" si="1"/>
        <v>29</v>
      </c>
      <c r="C11" s="116">
        <f>3+5+8+12+14+16+18+20+25+6+7+16+16+19+3+3+6+10+15+17+19+21+1+4+6+6+12+13+23</f>
        <v>344</v>
      </c>
      <c r="D11" s="176">
        <f t="shared" si="0"/>
        <v>11.862068965517242</v>
      </c>
      <c r="E11" s="24">
        <v>6</v>
      </c>
      <c r="F11" s="114">
        <v>7</v>
      </c>
      <c r="G11" s="24">
        <v>12</v>
      </c>
      <c r="H11" s="247">
        <v>4</v>
      </c>
      <c r="I11" s="164">
        <f>26/4</f>
        <v>6.5</v>
      </c>
      <c r="J11" s="165">
        <f>2/4</f>
        <v>0.5</v>
      </c>
    </row>
    <row r="12" spans="1:10" ht="12.75">
      <c r="A12" s="170" t="s">
        <v>17</v>
      </c>
      <c r="B12" s="162">
        <f t="shared" si="1"/>
        <v>33</v>
      </c>
      <c r="C12" s="162">
        <f>3+5+11+12+13+4+9+20+15+19+6+9+11+24+28+4+4+16+16+17+26+4+4+14+16+20+21</f>
        <v>351</v>
      </c>
      <c r="D12" s="176">
        <f t="shared" si="0"/>
        <v>10.636363636363637</v>
      </c>
      <c r="E12" s="161">
        <v>16</v>
      </c>
      <c r="F12" s="162">
        <v>3</v>
      </c>
      <c r="G12" s="161">
        <v>10</v>
      </c>
      <c r="H12" s="165">
        <v>4</v>
      </c>
      <c r="I12" s="164">
        <f>45/5</f>
        <v>9</v>
      </c>
      <c r="J12" s="165">
        <f>5/5</f>
        <v>1</v>
      </c>
    </row>
    <row r="13" spans="1:10" ht="12.75">
      <c r="A13" s="171" t="s">
        <v>18</v>
      </c>
      <c r="B13" s="116">
        <f t="shared" si="1"/>
        <v>19</v>
      </c>
      <c r="C13" s="116">
        <f>7+11+14+16+20+24+26+9+12+14+20+21+25+5+12+17+21+18</f>
        <v>292</v>
      </c>
      <c r="D13" s="176">
        <f t="shared" si="0"/>
        <v>15.368421052631579</v>
      </c>
      <c r="E13" s="24">
        <v>3</v>
      </c>
      <c r="F13" s="114">
        <f>1</f>
        <v>1</v>
      </c>
      <c r="G13" s="24">
        <v>8</v>
      </c>
      <c r="H13" s="247">
        <v>7</v>
      </c>
      <c r="I13" s="164">
        <f>50/4</f>
        <v>12.5</v>
      </c>
      <c r="J13" s="165">
        <f>6/4</f>
        <v>1.5</v>
      </c>
    </row>
    <row r="14" spans="1:10" ht="12.75">
      <c r="A14" s="170" t="s">
        <v>19</v>
      </c>
      <c r="B14" s="116">
        <f t="shared" si="1"/>
        <v>25</v>
      </c>
      <c r="C14" s="116">
        <f>2+5+6+13+17+17+22+13+13+16+22+1+2+4+12+12+36+3+4+6+9+10+16+23</f>
        <v>284</v>
      </c>
      <c r="D14" s="176">
        <f t="shared" si="0"/>
        <v>11.36</v>
      </c>
      <c r="E14" s="115">
        <v>7</v>
      </c>
      <c r="F14" s="116">
        <v>4</v>
      </c>
      <c r="G14" s="115">
        <v>10</v>
      </c>
      <c r="H14" s="129">
        <v>4</v>
      </c>
      <c r="I14" s="164">
        <f>37/4</f>
        <v>9.25</v>
      </c>
      <c r="J14" s="165">
        <f>3/4</f>
        <v>0.75</v>
      </c>
    </row>
    <row r="15" spans="1:10" ht="12.75">
      <c r="A15" s="172" t="s">
        <v>20</v>
      </c>
      <c r="B15" s="116">
        <f t="shared" si="1"/>
        <v>35</v>
      </c>
      <c r="C15" s="116">
        <f>6+7+8+9+17+18+21+4+5+7+15+25+8+7+8+14+20+23+4+8+11+8+11+12+12+15+15+20+20</f>
        <v>358</v>
      </c>
      <c r="D15" s="176">
        <f t="shared" si="0"/>
        <v>10.228571428571428</v>
      </c>
      <c r="E15" s="24">
        <v>12</v>
      </c>
      <c r="F15" s="114">
        <v>8</v>
      </c>
      <c r="G15" s="24">
        <v>9</v>
      </c>
      <c r="H15" s="247">
        <v>6</v>
      </c>
      <c r="I15" s="164">
        <f>34/4</f>
        <v>8.5</v>
      </c>
      <c r="J15" s="165">
        <f>7/4</f>
        <v>1.75</v>
      </c>
    </row>
    <row r="16" spans="1:10" ht="12.75">
      <c r="A16" s="170" t="s">
        <v>21</v>
      </c>
      <c r="B16" s="116">
        <f t="shared" si="1"/>
        <v>39</v>
      </c>
      <c r="C16" s="116">
        <f>7+8+11+14+16+3+3+10+13+15+16+19+23+3+2+4+7+11+12+18+22+24+19+25+3+8+11+8+13+17+18</f>
        <v>383</v>
      </c>
      <c r="D16" s="176">
        <f t="shared" si="0"/>
        <v>9.820512820512821</v>
      </c>
      <c r="E16" s="115">
        <v>16</v>
      </c>
      <c r="F16" s="116">
        <v>5</v>
      </c>
      <c r="G16" s="115">
        <v>14</v>
      </c>
      <c r="H16" s="129">
        <v>4</v>
      </c>
      <c r="I16" s="164">
        <f>29/4</f>
        <v>7.25</v>
      </c>
      <c r="J16" s="165">
        <f>6/4</f>
        <v>1.5</v>
      </c>
    </row>
    <row r="17" spans="1:10" ht="13.5" thickBot="1">
      <c r="A17" s="171" t="s">
        <v>22</v>
      </c>
      <c r="B17" s="118">
        <f>SUM(E17:H17)</f>
        <v>18</v>
      </c>
      <c r="C17" s="118">
        <f>1+4+10+11+16+16+18+20+6+14+20+20+24+1+6+12+17</f>
        <v>216</v>
      </c>
      <c r="D17" s="179">
        <f>IF(B17=0,0,C17/B17)</f>
        <v>12</v>
      </c>
      <c r="E17" s="117">
        <v>5</v>
      </c>
      <c r="F17" s="118">
        <v>2</v>
      </c>
      <c r="G17" s="117">
        <v>7</v>
      </c>
      <c r="H17" s="132">
        <v>4</v>
      </c>
      <c r="I17" s="164">
        <f>22/4</f>
        <v>5.5</v>
      </c>
      <c r="J17" s="165">
        <f>11/4</f>
        <v>2.75</v>
      </c>
    </row>
    <row r="18" spans="1:10" ht="14.25" thickBot="1" thickTop="1">
      <c r="A18" s="180" t="s">
        <v>46</v>
      </c>
      <c r="B18" s="208">
        <f>SUM(B6:B17)</f>
        <v>343</v>
      </c>
      <c r="C18" s="208">
        <f>SUM(C6:C17)</f>
        <v>3842</v>
      </c>
      <c r="D18" s="209">
        <f>C18/B18</f>
        <v>11.201166180758017</v>
      </c>
      <c r="E18" s="210">
        <f>SUM(E6:E17)</f>
        <v>106</v>
      </c>
      <c r="F18" s="208">
        <f>SUM(F6:F17)</f>
        <v>60</v>
      </c>
      <c r="G18" s="210">
        <f>SUM(G6:G17)</f>
        <v>128</v>
      </c>
      <c r="H18" s="248">
        <f>SUM(H6:H17)</f>
        <v>49</v>
      </c>
      <c r="I18" s="255" t="s">
        <v>78</v>
      </c>
      <c r="J18" s="256"/>
    </row>
    <row r="19" spans="1:10" ht="14.25" thickBot="1" thickTop="1">
      <c r="A19" s="258" t="s">
        <v>59</v>
      </c>
      <c r="B19" s="259"/>
      <c r="C19" s="259"/>
      <c r="D19" s="260"/>
      <c r="E19" s="212">
        <f>E18/$B$18</f>
        <v>0.30903790087463556</v>
      </c>
      <c r="F19" s="212">
        <f>F18/$B$18</f>
        <v>0.1749271137026239</v>
      </c>
      <c r="G19" s="212">
        <f>G18/$B$18</f>
        <v>0.37317784256559766</v>
      </c>
      <c r="H19" s="249">
        <f>H18/$B$18</f>
        <v>0.14285714285714285</v>
      </c>
      <c r="I19" s="257">
        <f>SUM(I6:I17)/12</f>
        <v>8.637500000000001</v>
      </c>
      <c r="J19" s="263">
        <f>SUM(J6:J17)/12</f>
        <v>1.8</v>
      </c>
    </row>
    <row r="20" spans="1:10" ht="12.75">
      <c r="A20" s="258" t="s">
        <v>48</v>
      </c>
      <c r="B20" s="259"/>
      <c r="C20" s="259"/>
      <c r="D20" s="259"/>
      <c r="E20" s="153"/>
      <c r="F20" s="214">
        <f>SUM(F19:H19)</f>
        <v>0.6909620991253644</v>
      </c>
      <c r="G20" s="215"/>
      <c r="H20" s="250"/>
      <c r="I20" s="246"/>
      <c r="J20" s="254"/>
    </row>
    <row r="21" spans="1:10" ht="15.75" thickBot="1">
      <c r="A21" s="261" t="s">
        <v>49</v>
      </c>
      <c r="B21" s="262"/>
      <c r="C21" s="262"/>
      <c r="D21" s="262"/>
      <c r="E21" s="251">
        <f>SUM(E19:F19)</f>
        <v>0.4839650145772595</v>
      </c>
      <c r="F21" s="252"/>
      <c r="G21" s="251">
        <f>SUM(G19:H19)</f>
        <v>0.5160349854227405</v>
      </c>
      <c r="H21" s="253"/>
      <c r="I21" s="25"/>
      <c r="J21" s="151"/>
    </row>
    <row r="22" spans="1:10" ht="13.5" thickBot="1">
      <c r="A22" s="149"/>
      <c r="B22" s="25"/>
      <c r="C22" s="25"/>
      <c r="D22" s="25"/>
      <c r="E22" s="25"/>
      <c r="F22" s="120"/>
      <c r="G22" s="120"/>
      <c r="H22" s="25"/>
      <c r="I22" s="25"/>
      <c r="J22" s="175"/>
    </row>
    <row r="23" spans="1:10" ht="15.75" thickBot="1">
      <c r="A23" s="158"/>
      <c r="B23" s="159">
        <v>1996</v>
      </c>
      <c r="C23" s="159">
        <v>1997</v>
      </c>
      <c r="D23" s="159">
        <v>1998</v>
      </c>
      <c r="E23" s="159">
        <v>1999</v>
      </c>
      <c r="F23" s="201">
        <v>2000</v>
      </c>
      <c r="G23" s="201">
        <v>2001</v>
      </c>
      <c r="H23" s="122"/>
      <c r="I23" s="86"/>
      <c r="J23" s="202"/>
    </row>
    <row r="24" spans="1:10" ht="15">
      <c r="A24" s="264" t="s">
        <v>62</v>
      </c>
      <c r="B24" s="220">
        <v>355</v>
      </c>
      <c r="C24" s="220">
        <v>376</v>
      </c>
      <c r="D24" s="220">
        <f>'1998'!D25</f>
        <v>351</v>
      </c>
      <c r="E24" s="221">
        <f>'1999'!B18</f>
        <v>394.83333333333337</v>
      </c>
      <c r="F24" s="221">
        <f>'2000'!F26</f>
        <v>360</v>
      </c>
      <c r="G24" s="221">
        <f>B18</f>
        <v>343</v>
      </c>
      <c r="H24" s="122"/>
      <c r="I24" s="86"/>
      <c r="J24" s="202"/>
    </row>
    <row r="25" spans="1:10" ht="15">
      <c r="A25" s="265" t="s">
        <v>52</v>
      </c>
      <c r="B25" s="222">
        <v>2930</v>
      </c>
      <c r="C25" s="222">
        <v>3248</v>
      </c>
      <c r="D25" s="222">
        <f>'1998'!D26</f>
        <v>3609</v>
      </c>
      <c r="E25" s="223">
        <f>'1999'!C18</f>
        <v>4015.1666666666665</v>
      </c>
      <c r="F25" s="224">
        <f>'2000'!F27</f>
        <v>3781</v>
      </c>
      <c r="G25" s="224">
        <f>C18</f>
        <v>3842</v>
      </c>
      <c r="H25" s="122"/>
      <c r="I25" s="86"/>
      <c r="J25" s="202"/>
    </row>
    <row r="26" spans="1:10" ht="15">
      <c r="A26" s="265" t="s">
        <v>53</v>
      </c>
      <c r="B26" s="225">
        <v>8.3</v>
      </c>
      <c r="C26" s="225">
        <v>8.6</v>
      </c>
      <c r="D26" s="226">
        <f>'1998'!D27</f>
        <v>10.282051282051283</v>
      </c>
      <c r="E26" s="226">
        <f>'1999'!D18</f>
        <v>10.169269734065004</v>
      </c>
      <c r="F26" s="226">
        <f>'2000'!F28</f>
        <v>10.502777777777778</v>
      </c>
      <c r="G26" s="226">
        <f>D18</f>
        <v>11.201166180758017</v>
      </c>
      <c r="H26" s="122"/>
      <c r="I26" s="86"/>
      <c r="J26" s="202"/>
    </row>
    <row r="27" spans="1:10" ht="15">
      <c r="A27" s="265" t="s">
        <v>54</v>
      </c>
      <c r="B27" s="225">
        <v>12</v>
      </c>
      <c r="C27" s="225">
        <v>21</v>
      </c>
      <c r="D27" s="225">
        <f>'1998'!D28</f>
        <v>29</v>
      </c>
      <c r="E27" s="224">
        <f>'1999'!H18</f>
        <v>30.333333333333332</v>
      </c>
      <c r="F27" s="224">
        <f>'2000'!F29</f>
        <v>38</v>
      </c>
      <c r="G27" s="224">
        <f>H18</f>
        <v>49</v>
      </c>
      <c r="H27" s="122"/>
      <c r="I27" s="86"/>
      <c r="J27" s="202"/>
    </row>
    <row r="28" spans="1:10" ht="15">
      <c r="A28" s="265" t="s">
        <v>55</v>
      </c>
      <c r="B28" s="227">
        <v>0.03</v>
      </c>
      <c r="C28" s="227">
        <v>0.06</v>
      </c>
      <c r="D28" s="228">
        <f>'1998'!D29</f>
        <v>0.08262108262108261</v>
      </c>
      <c r="E28" s="228">
        <f>'1999'!H19</f>
        <v>0.07682566483748415</v>
      </c>
      <c r="F28" s="245">
        <v>0.106</v>
      </c>
      <c r="G28" s="245">
        <f>H19</f>
        <v>0.14285714285714285</v>
      </c>
      <c r="H28" s="143"/>
      <c r="I28" s="86"/>
      <c r="J28" s="202"/>
    </row>
    <row r="29" spans="1:10" ht="15">
      <c r="A29" s="173" t="s">
        <v>79</v>
      </c>
      <c r="B29" s="122"/>
      <c r="C29" s="122"/>
      <c r="D29" s="122"/>
      <c r="E29" s="122"/>
      <c r="F29" s="122"/>
      <c r="G29" s="122"/>
      <c r="H29" s="122"/>
      <c r="I29" s="86"/>
      <c r="J29" s="202"/>
    </row>
    <row r="30" spans="1:10" ht="12.75">
      <c r="A30" s="173" t="s">
        <v>73</v>
      </c>
      <c r="B30" s="122"/>
      <c r="C30" s="122"/>
      <c r="D30" s="122"/>
      <c r="E30" s="122"/>
      <c r="F30" s="122"/>
      <c r="G30" s="122"/>
      <c r="H30" s="122"/>
      <c r="I30" s="122"/>
      <c r="J30" s="242"/>
    </row>
    <row r="31" spans="1:10" ht="12.75">
      <c r="A31" s="173" t="s">
        <v>74</v>
      </c>
      <c r="B31" s="122"/>
      <c r="C31" s="122"/>
      <c r="D31" s="122"/>
      <c r="E31" s="122"/>
      <c r="F31" s="122"/>
      <c r="G31" s="122"/>
      <c r="H31" s="122"/>
      <c r="I31" s="122"/>
      <c r="J31" s="242"/>
    </row>
    <row r="32" spans="1:12" ht="12.75">
      <c r="A32" s="173" t="s">
        <v>80</v>
      </c>
      <c r="B32" s="122"/>
      <c r="C32" s="122"/>
      <c r="D32" s="122"/>
      <c r="E32" s="122"/>
      <c r="F32" s="122"/>
      <c r="G32" s="122"/>
      <c r="H32" s="122"/>
      <c r="I32" s="122"/>
      <c r="J32" s="242"/>
      <c r="K32" s="31"/>
      <c r="L32" s="31"/>
    </row>
    <row r="33" spans="1:12" ht="13.5" thickBot="1">
      <c r="A33" s="205"/>
      <c r="B33" s="243"/>
      <c r="C33" s="243"/>
      <c r="D33" s="243"/>
      <c r="E33" s="243"/>
      <c r="F33" s="243"/>
      <c r="G33" s="243"/>
      <c r="H33" s="243"/>
      <c r="I33" s="243"/>
      <c r="J33" s="244"/>
      <c r="K33" s="31"/>
      <c r="L33" s="31"/>
    </row>
    <row r="34" spans="11:12" ht="12.75">
      <c r="K34" s="31"/>
      <c r="L34" s="31"/>
    </row>
    <row r="35" spans="11:12" ht="12.75">
      <c r="K35" s="31"/>
      <c r="L35" s="31"/>
    </row>
  </sheetData>
  <printOptions/>
  <pageMargins left="0.75" right="0.75" top="1" bottom="1" header="0.5" footer="0.5"/>
  <pageSetup orientation="portrait" scale="68" r:id="rId1"/>
  <headerFooter alignWithMargins="0">
    <oddHeader>&amp;C&amp;A</oddHeader>
    <oddFooter>&amp;CPrepared by Jim Steele &amp;D&amp;RPage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workbookViewId="0" topLeftCell="A4">
      <selection activeCell="D51" sqref="D51"/>
    </sheetView>
  </sheetViews>
  <sheetFormatPr defaultColWidth="9.140625" defaultRowHeight="12.75"/>
  <cols>
    <col min="1" max="1" width="30.8515625" style="0" customWidth="1"/>
    <col min="2" max="2" width="12.421875" style="0" customWidth="1"/>
    <col min="3" max="3" width="12.28125" style="0" customWidth="1"/>
    <col min="4" max="4" width="8.00390625" style="0" customWidth="1"/>
    <col min="5" max="5" width="10.140625" style="0" customWidth="1"/>
    <col min="6" max="6" width="11.421875" style="0" customWidth="1"/>
    <col min="7" max="7" width="13.57421875" style="0" customWidth="1"/>
    <col min="8" max="8" width="10.421875" style="0" customWidth="1"/>
    <col min="9" max="9" width="12.8515625" style="0" customWidth="1"/>
  </cols>
  <sheetData>
    <row r="1" spans="1:10" ht="33">
      <c r="A1" s="40" t="s">
        <v>30</v>
      </c>
      <c r="B1" s="147"/>
      <c r="C1" s="147"/>
      <c r="D1" s="147"/>
      <c r="E1" s="147"/>
      <c r="F1" s="147"/>
      <c r="G1" s="147"/>
      <c r="H1" s="147"/>
      <c r="I1" s="147"/>
      <c r="J1" s="148"/>
    </row>
    <row r="2" spans="1:10" ht="13.5" thickBot="1">
      <c r="A2" s="43"/>
      <c r="B2" s="44"/>
      <c r="C2" s="44"/>
      <c r="D2" s="44"/>
      <c r="E2" s="44"/>
      <c r="F2" s="44"/>
      <c r="G2" s="44"/>
      <c r="H2" s="44"/>
      <c r="I2" s="44"/>
      <c r="J2" s="45"/>
    </row>
    <row r="3" spans="1:10" ht="13.5" thickBot="1">
      <c r="A3" s="112"/>
      <c r="B3" s="113"/>
      <c r="C3" s="113"/>
      <c r="D3" s="178"/>
      <c r="E3" s="94" t="s">
        <v>31</v>
      </c>
      <c r="F3" s="95"/>
      <c r="G3" s="95"/>
      <c r="H3" s="96"/>
      <c r="I3" s="230" t="s">
        <v>76</v>
      </c>
      <c r="J3" s="231"/>
    </row>
    <row r="4" spans="1:10" ht="12.75">
      <c r="A4" s="169">
        <v>2002</v>
      </c>
      <c r="B4" s="177" t="s">
        <v>68</v>
      </c>
      <c r="C4" s="177" t="s">
        <v>34</v>
      </c>
      <c r="D4" s="177" t="s">
        <v>35</v>
      </c>
      <c r="E4" s="24" t="s">
        <v>36</v>
      </c>
      <c r="F4" s="114" t="s">
        <v>37</v>
      </c>
      <c r="G4" s="24" t="s">
        <v>38</v>
      </c>
      <c r="H4" s="247" t="s">
        <v>39</v>
      </c>
      <c r="I4" s="124" t="s">
        <v>77</v>
      </c>
      <c r="J4" s="125"/>
    </row>
    <row r="5" spans="1:10" ht="12.75">
      <c r="A5" s="207" t="s">
        <v>70</v>
      </c>
      <c r="B5" s="116" t="s">
        <v>4</v>
      </c>
      <c r="C5" s="116" t="s">
        <v>40</v>
      </c>
      <c r="D5" s="116" t="s">
        <v>41</v>
      </c>
      <c r="E5" s="24" t="s">
        <v>41</v>
      </c>
      <c r="F5" s="114" t="s">
        <v>41</v>
      </c>
      <c r="G5" s="24" t="s">
        <v>41</v>
      </c>
      <c r="H5" s="247" t="s">
        <v>41</v>
      </c>
      <c r="I5" s="126" t="s">
        <v>42</v>
      </c>
      <c r="J5" s="127" t="s">
        <v>43</v>
      </c>
    </row>
    <row r="6" spans="1:10" ht="12.75">
      <c r="A6" s="170" t="s">
        <v>81</v>
      </c>
      <c r="B6" s="116">
        <f>SUM(E6:H6)</f>
        <v>41</v>
      </c>
      <c r="C6" s="116">
        <f>2+3+4+24+28+30+16+19+19+22+39+6+21+30+25+3+2+15+16+18+20+22+7+21+12+16+17+17+18+21+31</f>
        <v>544</v>
      </c>
      <c r="D6" s="176">
        <f aca="true" t="shared" si="0" ref="D6:D16">IF(B6=0,0,C6/B6)</f>
        <v>13.268292682926829</v>
      </c>
      <c r="E6" s="115">
        <v>11</v>
      </c>
      <c r="F6" s="116">
        <v>2</v>
      </c>
      <c r="G6" s="115">
        <v>21</v>
      </c>
      <c r="H6" s="129">
        <v>7</v>
      </c>
      <c r="I6" s="164">
        <f>51/5</f>
        <v>10.2</v>
      </c>
      <c r="J6" s="165">
        <f>9/5</f>
        <v>1.8</v>
      </c>
    </row>
    <row r="7" spans="1:10" ht="12.75">
      <c r="A7" s="171" t="s">
        <v>12</v>
      </c>
      <c r="B7" s="116">
        <f aca="true" t="shared" si="1" ref="B7:B16">SUM(E7:H7)</f>
        <v>29</v>
      </c>
      <c r="C7" s="116">
        <f>3+14+20+38+12+6+14+9+10+10+12+4+19+14+18+19+20+26+27+3+6+13+15+19+22</f>
        <v>373</v>
      </c>
      <c r="D7" s="176">
        <f t="shared" si="0"/>
        <v>12.862068965517242</v>
      </c>
      <c r="E7" s="24">
        <v>9</v>
      </c>
      <c r="F7" s="114">
        <v>8</v>
      </c>
      <c r="G7" s="24">
        <v>8</v>
      </c>
      <c r="H7" s="247">
        <v>4</v>
      </c>
      <c r="I7" s="164">
        <f>26/4</f>
        <v>6.5</v>
      </c>
      <c r="J7" s="165">
        <f>9/4</f>
        <v>2.25</v>
      </c>
    </row>
    <row r="8" spans="1:10" ht="12.75">
      <c r="A8" s="170" t="s">
        <v>13</v>
      </c>
      <c r="B8" s="116">
        <f>SUM(E8:H8)</f>
        <v>17</v>
      </c>
      <c r="C8" s="116">
        <f>2+6+24+14+13+13+15+18+22+6+11+15+21+25</f>
        <v>205</v>
      </c>
      <c r="D8" s="176">
        <f t="shared" si="0"/>
        <v>12.058823529411764</v>
      </c>
      <c r="E8" s="115">
        <v>3</v>
      </c>
      <c r="F8" s="116">
        <v>4</v>
      </c>
      <c r="G8" s="115">
        <v>7</v>
      </c>
      <c r="H8" s="129">
        <v>3</v>
      </c>
      <c r="I8" s="164">
        <f>30/4</f>
        <v>7.5</v>
      </c>
      <c r="J8" s="165">
        <f>13/4</f>
        <v>3.25</v>
      </c>
    </row>
    <row r="9" spans="1:10" ht="12.75">
      <c r="A9" s="172" t="s">
        <v>14</v>
      </c>
      <c r="B9" s="116">
        <f t="shared" si="1"/>
        <v>21</v>
      </c>
      <c r="C9" s="116">
        <f>3+20+10+13+19+5+8+21+30+22+14+18+6+16+20+26</f>
        <v>251</v>
      </c>
      <c r="D9" s="176">
        <f t="shared" si="0"/>
        <v>11.952380952380953</v>
      </c>
      <c r="E9" s="24">
        <v>6</v>
      </c>
      <c r="F9" s="114">
        <v>5</v>
      </c>
      <c r="G9" s="24">
        <v>6</v>
      </c>
      <c r="H9" s="247">
        <v>4</v>
      </c>
      <c r="I9" s="126">
        <f>50/5</f>
        <v>10</v>
      </c>
      <c r="J9" s="165">
        <f>9/5</f>
        <v>1.8</v>
      </c>
    </row>
    <row r="10" spans="1:10" ht="12.75">
      <c r="A10" s="170" t="s">
        <v>15</v>
      </c>
      <c r="B10" s="116">
        <f t="shared" si="1"/>
        <v>23</v>
      </c>
      <c r="C10" s="116">
        <f>5+18+12+16+16+16+7+12+12+13+13+13+19+4+8+9+14+20+3+11+16+22</f>
        <v>279</v>
      </c>
      <c r="D10" s="176">
        <f t="shared" si="0"/>
        <v>12.130434782608695</v>
      </c>
      <c r="E10" s="115">
        <v>4</v>
      </c>
      <c r="F10" s="116">
        <v>4</v>
      </c>
      <c r="G10" s="115">
        <v>13</v>
      </c>
      <c r="H10" s="129">
        <v>2</v>
      </c>
      <c r="I10" s="126">
        <f>28/4</f>
        <v>7</v>
      </c>
      <c r="J10" s="165">
        <f>8/4</f>
        <v>2</v>
      </c>
    </row>
    <row r="11" spans="1:10" ht="12.75">
      <c r="A11" s="173" t="s">
        <v>16</v>
      </c>
      <c r="B11" s="116">
        <f t="shared" si="1"/>
        <v>29</v>
      </c>
      <c r="C11" s="116">
        <f>4+6+9+13+15+19+21+26+7+8+13+17+17+20+2+4+5+7+10+22+16+18+20+21+10+16</f>
        <v>346</v>
      </c>
      <c r="D11" s="176">
        <f t="shared" si="0"/>
        <v>11.931034482758621</v>
      </c>
      <c r="E11" s="24">
        <v>7</v>
      </c>
      <c r="F11" s="114">
        <v>6</v>
      </c>
      <c r="G11" s="24">
        <v>11</v>
      </c>
      <c r="H11" s="247">
        <v>5</v>
      </c>
      <c r="I11" s="164">
        <f>19/4</f>
        <v>4.75</v>
      </c>
      <c r="J11" s="165">
        <f>5/4</f>
        <v>1.25</v>
      </c>
    </row>
    <row r="12" spans="1:10" ht="12.75">
      <c r="A12" s="170" t="s">
        <v>17</v>
      </c>
      <c r="B12" s="162">
        <f t="shared" si="1"/>
        <v>42</v>
      </c>
      <c r="C12" s="162">
        <f>5+5+7+44+5+5+12+20+22+12+14+7+25+16+18+29+5+15+17+18+27+7+19+17+17+21+22</f>
        <v>431</v>
      </c>
      <c r="D12" s="176">
        <f t="shared" si="0"/>
        <v>10.261904761904763</v>
      </c>
      <c r="E12" s="161">
        <v>17</v>
      </c>
      <c r="F12" s="162">
        <v>6</v>
      </c>
      <c r="G12" s="161">
        <v>13</v>
      </c>
      <c r="H12" s="165">
        <v>6</v>
      </c>
      <c r="I12" s="164">
        <f>34/5</f>
        <v>6.8</v>
      </c>
      <c r="J12" s="165">
        <v>2</v>
      </c>
    </row>
    <row r="13" spans="1:10" ht="12.75">
      <c r="A13" s="171" t="s">
        <v>18</v>
      </c>
      <c r="B13" s="116">
        <f t="shared" si="1"/>
        <v>25</v>
      </c>
      <c r="C13" s="116">
        <f>2+8+21+25+27+2+6+13+13+21+22+6+15+18+26+3+14+17+19+22</f>
        <v>300</v>
      </c>
      <c r="D13" s="176">
        <f t="shared" si="0"/>
        <v>12</v>
      </c>
      <c r="E13" s="24">
        <v>9</v>
      </c>
      <c r="F13" s="114">
        <v>2</v>
      </c>
      <c r="G13" s="24">
        <v>7</v>
      </c>
      <c r="H13" s="247">
        <v>7</v>
      </c>
      <c r="I13" s="164">
        <f>34/4</f>
        <v>8.5</v>
      </c>
      <c r="J13" s="165">
        <f>7/4</f>
        <v>1.75</v>
      </c>
    </row>
    <row r="14" spans="1:10" ht="12.75">
      <c r="A14" s="170" t="s">
        <v>19</v>
      </c>
      <c r="B14" s="116">
        <f t="shared" si="1"/>
        <v>22</v>
      </c>
      <c r="C14" s="116">
        <f>3+6+7+14+18+23+7+11+13+18+23+5+13+17+37+2+13+15+24</f>
        <v>269</v>
      </c>
      <c r="D14" s="176">
        <f t="shared" si="0"/>
        <v>12.227272727272727</v>
      </c>
      <c r="E14" s="115">
        <v>7</v>
      </c>
      <c r="F14" s="116">
        <v>2</v>
      </c>
      <c r="G14" s="115">
        <v>9</v>
      </c>
      <c r="H14" s="129">
        <v>4</v>
      </c>
      <c r="I14" s="164">
        <f>40/4</f>
        <v>10</v>
      </c>
      <c r="J14" s="165">
        <f>9/5</f>
        <v>1.8</v>
      </c>
    </row>
    <row r="15" spans="1:10" ht="12.75">
      <c r="A15" s="172" t="s">
        <v>20</v>
      </c>
      <c r="B15" s="116">
        <f t="shared" si="1"/>
        <v>46</v>
      </c>
      <c r="C15" s="116">
        <f>2+3+8+13+16+11+18+22+10+8+16+25+26+15+16+21+24+9+5+7+8+9+12+13+15+16+16+3+4+5+4+5+5+6+12+19+20+21</f>
        <v>468</v>
      </c>
      <c r="D15" s="176">
        <f t="shared" si="0"/>
        <v>10.173913043478262</v>
      </c>
      <c r="E15" s="24">
        <v>16</v>
      </c>
      <c r="F15" s="114">
        <v>12</v>
      </c>
      <c r="G15" s="24">
        <v>11</v>
      </c>
      <c r="H15" s="247">
        <v>7</v>
      </c>
      <c r="I15" s="164">
        <f>38/5</f>
        <v>7.6</v>
      </c>
      <c r="J15" s="165">
        <f>7/4</f>
        <v>1.75</v>
      </c>
    </row>
    <row r="16" spans="1:10" ht="12.75">
      <c r="A16" s="170" t="s">
        <v>21</v>
      </c>
      <c r="B16" s="116">
        <f t="shared" si="1"/>
        <v>39</v>
      </c>
      <c r="C16" s="116">
        <f>8+6+8+15+18+21+9+5+11+12+13+13+16+17+17+20+23+24+6+8+8+12+19+25+6+1+3+7+13+18+18+20</f>
        <v>420</v>
      </c>
      <c r="D16" s="176">
        <f t="shared" si="0"/>
        <v>10.76923076923077</v>
      </c>
      <c r="E16" s="115">
        <v>14</v>
      </c>
      <c r="F16" s="116">
        <v>5</v>
      </c>
      <c r="G16" s="115">
        <v>14</v>
      </c>
      <c r="H16" s="129">
        <v>6</v>
      </c>
      <c r="I16" s="164">
        <f>38/4</f>
        <v>9.5</v>
      </c>
      <c r="J16" s="165">
        <f>8/4</f>
        <v>2</v>
      </c>
    </row>
    <row r="17" spans="1:10" ht="13.5" thickBot="1">
      <c r="A17" s="171" t="s">
        <v>22</v>
      </c>
      <c r="B17" s="118">
        <f>SUM(E17:H17)</f>
        <v>20</v>
      </c>
      <c r="C17" s="118">
        <f>6+6+12+17+18+18+1+21+1+8+21+25+21+1+12+13+14+15+16+20</f>
        <v>266</v>
      </c>
      <c r="D17" s="179">
        <f>IF(B17=0,0,C17/B17)</f>
        <v>13.3</v>
      </c>
      <c r="E17" s="117">
        <v>4</v>
      </c>
      <c r="F17" s="118">
        <v>2</v>
      </c>
      <c r="G17" s="117">
        <v>9</v>
      </c>
      <c r="H17" s="132">
        <v>5</v>
      </c>
      <c r="I17" s="164">
        <f>32/4</f>
        <v>8</v>
      </c>
      <c r="J17" s="165">
        <f>4/4</f>
        <v>1</v>
      </c>
    </row>
    <row r="18" spans="1:10" ht="14.25" thickBot="1" thickTop="1">
      <c r="A18" s="180" t="s">
        <v>46</v>
      </c>
      <c r="B18" s="208">
        <f>SUM(B6:B17)</f>
        <v>354</v>
      </c>
      <c r="C18" s="208">
        <f>SUM(C6:C17)</f>
        <v>4152</v>
      </c>
      <c r="D18" s="209">
        <f>C18/B18</f>
        <v>11.728813559322035</v>
      </c>
      <c r="E18" s="210">
        <f>SUM(E6:E17)</f>
        <v>107</v>
      </c>
      <c r="F18" s="208">
        <f>SUM(F6:F17)</f>
        <v>58</v>
      </c>
      <c r="G18" s="210">
        <f>SUM(G6:G17)</f>
        <v>129</v>
      </c>
      <c r="H18" s="248">
        <f>SUM(H6:H17)</f>
        <v>60</v>
      </c>
      <c r="I18" s="255" t="s">
        <v>78</v>
      </c>
      <c r="J18" s="256"/>
    </row>
    <row r="19" spans="1:10" ht="14.25" thickBot="1" thickTop="1">
      <c r="A19" s="258" t="s">
        <v>59</v>
      </c>
      <c r="B19" s="259"/>
      <c r="C19" s="259"/>
      <c r="D19" s="260"/>
      <c r="E19" s="212">
        <f>E18/$B$18</f>
        <v>0.3022598870056497</v>
      </c>
      <c r="F19" s="212">
        <f>F18/$B$18</f>
        <v>0.1638418079096045</v>
      </c>
      <c r="G19" s="212">
        <f>G18/$B$18</f>
        <v>0.3644067796610169</v>
      </c>
      <c r="H19" s="249">
        <f>H18/$B$18</f>
        <v>0.1694915254237288</v>
      </c>
      <c r="I19" s="257">
        <f>SUM(I6:I17)/12</f>
        <v>8.029166666666667</v>
      </c>
      <c r="J19" s="263">
        <f>SUM(J6:J17)/12</f>
        <v>1.8875000000000002</v>
      </c>
    </row>
    <row r="20" spans="1:10" ht="13.5" thickBot="1">
      <c r="A20" s="258" t="s">
        <v>82</v>
      </c>
      <c r="B20" s="259"/>
      <c r="C20" s="259"/>
      <c r="D20" s="259"/>
      <c r="E20" s="153"/>
      <c r="F20" s="214">
        <f>SUM(F19:H19)</f>
        <v>0.6977401129943502</v>
      </c>
      <c r="G20" s="215"/>
      <c r="H20" s="215"/>
      <c r="I20" s="270" t="s">
        <v>83</v>
      </c>
      <c r="J20" s="271"/>
    </row>
    <row r="21" spans="1:10" ht="14.25" thickBot="1" thickTop="1">
      <c r="A21" s="261" t="s">
        <v>84</v>
      </c>
      <c r="B21" s="262"/>
      <c r="C21" s="262"/>
      <c r="D21" s="262"/>
      <c r="E21" s="251">
        <f>SUM(E19:F19)</f>
        <v>0.4661016949152542</v>
      </c>
      <c r="F21" s="252"/>
      <c r="G21" s="251">
        <f>SUM(G19:H19)</f>
        <v>0.5338983050847457</v>
      </c>
      <c r="H21" s="272"/>
      <c r="I21" s="275">
        <f>45+11+30+7+8+11+8</f>
        <v>120</v>
      </c>
      <c r="J21" s="276"/>
    </row>
    <row r="22" spans="1:10" ht="13.5" thickBot="1">
      <c r="A22" s="149"/>
      <c r="B22" s="25"/>
      <c r="C22" s="25"/>
      <c r="D22" s="25"/>
      <c r="E22" s="25"/>
      <c r="F22" s="120"/>
      <c r="G22" s="120"/>
      <c r="H22" s="25"/>
      <c r="I22" s="25"/>
      <c r="J22" s="175"/>
    </row>
    <row r="23" spans="1:10" ht="15.75" thickBot="1">
      <c r="A23" s="158"/>
      <c r="B23" s="159">
        <v>1996</v>
      </c>
      <c r="C23" s="159">
        <v>1997</v>
      </c>
      <c r="D23" s="159">
        <v>1998</v>
      </c>
      <c r="E23" s="159">
        <v>1999</v>
      </c>
      <c r="F23" s="201">
        <v>2000</v>
      </c>
      <c r="G23" s="201">
        <v>2001</v>
      </c>
      <c r="H23" s="267" t="s">
        <v>85</v>
      </c>
      <c r="I23" s="86"/>
      <c r="J23" s="202"/>
    </row>
    <row r="24" spans="1:10" ht="15">
      <c r="A24" s="264" t="s">
        <v>62</v>
      </c>
      <c r="B24" s="220">
        <v>355</v>
      </c>
      <c r="C24" s="220">
        <v>376</v>
      </c>
      <c r="D24" s="220">
        <f>'1998'!D25</f>
        <v>351</v>
      </c>
      <c r="E24" s="221">
        <f>'1999'!B18</f>
        <v>394.83333333333337</v>
      </c>
      <c r="F24" s="221">
        <f>'2000'!F26</f>
        <v>360</v>
      </c>
      <c r="G24" s="221">
        <f>'2001'!B18</f>
        <v>343</v>
      </c>
      <c r="H24" s="268">
        <f>B18</f>
        <v>354</v>
      </c>
      <c r="I24" s="86"/>
      <c r="J24" s="202"/>
    </row>
    <row r="25" spans="1:10" ht="15">
      <c r="A25" s="265" t="s">
        <v>52</v>
      </c>
      <c r="B25" s="222">
        <v>2930</v>
      </c>
      <c r="C25" s="222">
        <v>3248</v>
      </c>
      <c r="D25" s="222">
        <f>'1998'!D26</f>
        <v>3609</v>
      </c>
      <c r="E25" s="223">
        <f>'1999'!C18</f>
        <v>4015.1666666666665</v>
      </c>
      <c r="F25" s="224">
        <f>'2000'!F27</f>
        <v>3781</v>
      </c>
      <c r="G25" s="224">
        <f>'2001'!C18</f>
        <v>3842</v>
      </c>
      <c r="H25" s="162">
        <f>C18</f>
        <v>4152</v>
      </c>
      <c r="I25" s="86"/>
      <c r="J25" s="202"/>
    </row>
    <row r="26" spans="1:10" ht="15">
      <c r="A26" s="265" t="s">
        <v>53</v>
      </c>
      <c r="B26" s="225">
        <v>8.3</v>
      </c>
      <c r="C26" s="225">
        <v>8.6</v>
      </c>
      <c r="D26" s="226">
        <f>'1998'!D27</f>
        <v>10.282051282051283</v>
      </c>
      <c r="E26" s="226">
        <f>'1999'!D18</f>
        <v>10.169269734065004</v>
      </c>
      <c r="F26" s="226">
        <f>'2000'!F28</f>
        <v>10.502777777777778</v>
      </c>
      <c r="G26" s="226">
        <f>'2001'!G26</f>
        <v>11.201166180758017</v>
      </c>
      <c r="H26" s="176">
        <f>D18</f>
        <v>11.728813559322035</v>
      </c>
      <c r="I26" s="86"/>
      <c r="J26" s="202"/>
    </row>
    <row r="27" spans="1:10" ht="15">
      <c r="A27" s="265" t="s">
        <v>54</v>
      </c>
      <c r="B27" s="225">
        <v>12</v>
      </c>
      <c r="C27" s="225">
        <v>21</v>
      </c>
      <c r="D27" s="225">
        <f>'1998'!D28</f>
        <v>29</v>
      </c>
      <c r="E27" s="224">
        <f>'1999'!H18</f>
        <v>30.333333333333332</v>
      </c>
      <c r="F27" s="224">
        <f>'2000'!F29</f>
        <v>38</v>
      </c>
      <c r="G27" s="224">
        <f>'2001'!G27</f>
        <v>49</v>
      </c>
      <c r="H27" s="162">
        <f>H18</f>
        <v>60</v>
      </c>
      <c r="I27" s="86"/>
      <c r="J27" s="202"/>
    </row>
    <row r="28" spans="1:10" ht="15">
      <c r="A28" s="265" t="s">
        <v>55</v>
      </c>
      <c r="B28" s="227">
        <v>0.03</v>
      </c>
      <c r="C28" s="227">
        <v>0.06</v>
      </c>
      <c r="D28" s="228">
        <f>'1998'!D29</f>
        <v>0.08262108262108261</v>
      </c>
      <c r="E28" s="228">
        <f>'1999'!H19</f>
        <v>0.07682566483748415</v>
      </c>
      <c r="F28" s="245">
        <v>0.106</v>
      </c>
      <c r="G28" s="245">
        <f>'2001'!G28</f>
        <v>0.14285714285714285</v>
      </c>
      <c r="H28" s="269">
        <f>H19</f>
        <v>0.1694915254237288</v>
      </c>
      <c r="I28" s="86"/>
      <c r="J28" s="202"/>
    </row>
    <row r="29" spans="1:10" ht="15">
      <c r="A29" s="273" t="s">
        <v>79</v>
      </c>
      <c r="B29" s="122"/>
      <c r="C29" s="122"/>
      <c r="D29" s="122"/>
      <c r="E29" s="122"/>
      <c r="F29" s="122"/>
      <c r="G29" s="122"/>
      <c r="H29" s="122"/>
      <c r="I29" s="86"/>
      <c r="J29" s="202"/>
    </row>
    <row r="30" spans="1:10" ht="12.75">
      <c r="A30" s="273" t="s">
        <v>73</v>
      </c>
      <c r="B30" s="122"/>
      <c r="C30" s="122"/>
      <c r="D30" s="122"/>
      <c r="E30" s="122"/>
      <c r="F30" s="122"/>
      <c r="G30" s="122"/>
      <c r="H30" s="122"/>
      <c r="I30" s="122"/>
      <c r="J30" s="242"/>
    </row>
    <row r="31" spans="1:10" ht="12.75">
      <c r="A31" s="273" t="s">
        <v>74</v>
      </c>
      <c r="B31" s="122"/>
      <c r="C31" s="122"/>
      <c r="D31" s="122"/>
      <c r="E31" s="122"/>
      <c r="F31" s="122"/>
      <c r="G31" s="122"/>
      <c r="H31" s="122"/>
      <c r="I31" s="122"/>
      <c r="J31" s="242"/>
    </row>
    <row r="32" spans="1:10" ht="12.75">
      <c r="A32" s="273" t="s">
        <v>80</v>
      </c>
      <c r="B32" s="122"/>
      <c r="C32" s="122"/>
      <c r="D32" s="122"/>
      <c r="E32" s="122"/>
      <c r="F32" s="122"/>
      <c r="G32" s="122"/>
      <c r="H32" s="122"/>
      <c r="I32" s="122"/>
      <c r="J32" s="242"/>
    </row>
    <row r="33" spans="1:10" ht="13.5" thickBot="1">
      <c r="A33" s="274" t="s">
        <v>86</v>
      </c>
      <c r="B33" s="243"/>
      <c r="C33" s="243"/>
      <c r="D33" s="243"/>
      <c r="E33" s="243"/>
      <c r="F33" s="243"/>
      <c r="G33" s="243"/>
      <c r="H33" s="243"/>
      <c r="I33" s="243"/>
      <c r="J33" s="244"/>
    </row>
  </sheetData>
  <printOptions/>
  <pageMargins left="0.75" right="0.75" top="1" bottom="1" header="0.5" footer="0.5"/>
  <pageSetup fitToHeight="1" fitToWidth="1" horizontalDpi="600" verticalDpi="600" orientation="landscape" scale="94" r:id="rId1"/>
  <headerFooter alignWithMargins="0">
    <oddHeader>&amp;C&amp;A</oddHeader>
    <oddFooter>&amp;LJim Steele&amp;CPage &amp;P&amp;R&amp;D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workbookViewId="0" topLeftCell="A3">
      <selection activeCell="D51" sqref="D51"/>
    </sheetView>
  </sheetViews>
  <sheetFormatPr defaultColWidth="9.140625" defaultRowHeight="12.75"/>
  <cols>
    <col min="1" max="1" width="34.00390625" style="0" customWidth="1"/>
    <col min="2" max="2" width="12.28125" style="0" customWidth="1"/>
    <col min="3" max="3" width="10.8515625" style="0" customWidth="1"/>
    <col min="4" max="4" width="8.28125" style="0" customWidth="1"/>
    <col min="5" max="7" width="12.7109375" style="0" customWidth="1"/>
    <col min="8" max="8" width="14.421875" style="0" customWidth="1"/>
    <col min="9" max="9" width="11.00390625" style="0" customWidth="1"/>
    <col min="10" max="10" width="10.8515625" style="0" customWidth="1"/>
  </cols>
  <sheetData>
    <row r="1" spans="1:10" ht="33">
      <c r="A1" s="40" t="s">
        <v>30</v>
      </c>
      <c r="B1" s="147"/>
      <c r="C1" s="147"/>
      <c r="D1" s="147"/>
      <c r="E1" s="147"/>
      <c r="F1" s="147"/>
      <c r="G1" s="147"/>
      <c r="H1" s="147"/>
      <c r="I1" s="147"/>
      <c r="J1" s="148"/>
    </row>
    <row r="2" spans="1:10" ht="13.5" thickBot="1">
      <c r="A2" s="43"/>
      <c r="B2" s="44"/>
      <c r="C2" s="44"/>
      <c r="D2" s="44"/>
      <c r="E2" s="44"/>
      <c r="F2" s="44"/>
      <c r="G2" s="44"/>
      <c r="H2" s="44"/>
      <c r="I2" s="44"/>
      <c r="J2" s="45"/>
    </row>
    <row r="3" spans="1:10" ht="13.5" thickBot="1">
      <c r="A3" s="112"/>
      <c r="B3" s="113"/>
      <c r="C3" s="113"/>
      <c r="D3" s="178"/>
      <c r="E3" s="94" t="s">
        <v>31</v>
      </c>
      <c r="F3" s="95"/>
      <c r="G3" s="95"/>
      <c r="H3" s="96"/>
      <c r="I3" s="230" t="s">
        <v>76</v>
      </c>
      <c r="J3" s="231"/>
    </row>
    <row r="4" spans="1:10" ht="12.75">
      <c r="A4" s="169">
        <v>2003</v>
      </c>
      <c r="B4" s="177" t="s">
        <v>93</v>
      </c>
      <c r="C4" s="177" t="s">
        <v>34</v>
      </c>
      <c r="D4" s="177" t="s">
        <v>35</v>
      </c>
      <c r="E4" s="24" t="s">
        <v>36</v>
      </c>
      <c r="F4" s="114" t="s">
        <v>37</v>
      </c>
      <c r="G4" s="24" t="s">
        <v>38</v>
      </c>
      <c r="H4" s="247" t="s">
        <v>39</v>
      </c>
      <c r="I4" s="124" t="s">
        <v>97</v>
      </c>
      <c r="J4" s="125"/>
    </row>
    <row r="5" spans="1:10" ht="12.75">
      <c r="A5" s="207" t="s">
        <v>70</v>
      </c>
      <c r="B5" s="116" t="s">
        <v>4</v>
      </c>
      <c r="C5" s="116" t="s">
        <v>95</v>
      </c>
      <c r="D5" s="116" t="s">
        <v>41</v>
      </c>
      <c r="E5" s="24" t="s">
        <v>41</v>
      </c>
      <c r="F5" s="114" t="s">
        <v>41</v>
      </c>
      <c r="G5" s="24" t="s">
        <v>41</v>
      </c>
      <c r="H5" s="247" t="s">
        <v>41</v>
      </c>
      <c r="I5" s="126" t="s">
        <v>42</v>
      </c>
      <c r="J5" s="127" t="s">
        <v>43</v>
      </c>
    </row>
    <row r="6" spans="1:10" ht="12.75">
      <c r="A6" s="170" t="s">
        <v>11</v>
      </c>
      <c r="B6" s="116">
        <f>SUM(E6:H6)</f>
        <v>42</v>
      </c>
      <c r="C6" s="116">
        <f>5+3+8+5+7+7+11+12+16+16+17+20+23+2+2+6+10+16+17+19+21+23+26+6+6+11+12+13+18+18+18+19+22+1+7+13</f>
        <v>456</v>
      </c>
      <c r="D6" s="176">
        <f aca="true" t="shared" si="0" ref="D6:D16">IF(B6=0,0,C6/B6)</f>
        <v>10.857142857142858</v>
      </c>
      <c r="E6" s="115">
        <v>15</v>
      </c>
      <c r="F6" s="116">
        <v>5</v>
      </c>
      <c r="G6" s="115">
        <v>16</v>
      </c>
      <c r="H6" s="129">
        <v>6</v>
      </c>
      <c r="I6" s="164">
        <f>31/4</f>
        <v>7.75</v>
      </c>
      <c r="J6" s="165">
        <f>5/4</f>
        <v>1.25</v>
      </c>
    </row>
    <row r="7" spans="1:10" ht="12.75">
      <c r="A7" s="171" t="s">
        <v>12</v>
      </c>
      <c r="B7" s="116">
        <f aca="true" t="shared" si="1" ref="B7:B16">SUM(E7:H7)</f>
        <v>32</v>
      </c>
      <c r="C7" s="116">
        <f>4+20+30+24+39+3+10+12+13+19+21+5+6+7+8+8+10+22+15+20+21+4+7+14+20+23+27+27</f>
        <v>439</v>
      </c>
      <c r="D7" s="176">
        <f t="shared" si="0"/>
        <v>13.71875</v>
      </c>
      <c r="E7" s="24">
        <v>6</v>
      </c>
      <c r="F7" s="114">
        <v>8</v>
      </c>
      <c r="G7" s="24">
        <v>10</v>
      </c>
      <c r="H7" s="247">
        <v>8</v>
      </c>
      <c r="I7" s="164">
        <f>19/4</f>
        <v>4.75</v>
      </c>
      <c r="J7" s="165">
        <f>8/4</f>
        <v>2</v>
      </c>
    </row>
    <row r="8" spans="1:10" ht="12.75">
      <c r="A8" s="170" t="s">
        <v>13</v>
      </c>
      <c r="B8" s="116">
        <f>SUM(E8:H8)</f>
        <v>15</v>
      </c>
      <c r="C8" s="116">
        <f>1+3+9+10+29+17+19+23+13+16+26</f>
        <v>166</v>
      </c>
      <c r="D8" s="176">
        <f t="shared" si="0"/>
        <v>11.066666666666666</v>
      </c>
      <c r="E8" s="115">
        <v>5</v>
      </c>
      <c r="F8" s="116">
        <v>2</v>
      </c>
      <c r="G8" s="115">
        <v>6</v>
      </c>
      <c r="H8" s="129">
        <v>2</v>
      </c>
      <c r="I8" s="164">
        <f>23/4</f>
        <v>5.75</v>
      </c>
      <c r="J8" s="165">
        <f>9/4</f>
        <v>2.25</v>
      </c>
    </row>
    <row r="9" spans="1:10" ht="12.75">
      <c r="A9" s="172" t="s">
        <v>14</v>
      </c>
      <c r="B9" s="116">
        <f t="shared" si="1"/>
        <v>25</v>
      </c>
      <c r="C9" s="116">
        <f>1+8+22+14+18+20+2+18+15+17+19+19+23+6+22+10+16+17+27</f>
        <v>294</v>
      </c>
      <c r="D9" s="176">
        <f t="shared" si="0"/>
        <v>11.76</v>
      </c>
      <c r="E9" s="24">
        <v>8</v>
      </c>
      <c r="F9" s="114">
        <v>3</v>
      </c>
      <c r="G9" s="24">
        <v>10</v>
      </c>
      <c r="H9" s="247">
        <v>4</v>
      </c>
      <c r="I9" s="164">
        <f>23/5</f>
        <v>4.6</v>
      </c>
      <c r="J9" s="165">
        <f>9/5</f>
        <v>1.8</v>
      </c>
    </row>
    <row r="10" spans="1:10" ht="12.75">
      <c r="A10" s="170" t="s">
        <v>15</v>
      </c>
      <c r="B10" s="116">
        <f t="shared" si="1"/>
        <v>27</v>
      </c>
      <c r="C10" s="116">
        <f>3+11+13+6+9+30+21+7+9+43+8+16+12+17+17+23</f>
        <v>245</v>
      </c>
      <c r="D10" s="176">
        <f t="shared" si="0"/>
        <v>9.074074074074074</v>
      </c>
      <c r="E10" s="115">
        <v>11</v>
      </c>
      <c r="F10" s="116">
        <v>4</v>
      </c>
      <c r="G10" s="115">
        <v>10</v>
      </c>
      <c r="H10" s="129">
        <v>2</v>
      </c>
      <c r="I10" s="126">
        <f>20/4</f>
        <v>5</v>
      </c>
      <c r="J10" s="165">
        <f>10/4</f>
        <v>2.5</v>
      </c>
    </row>
    <row r="11" spans="1:10" ht="12.75">
      <c r="A11" s="173" t="s">
        <v>16</v>
      </c>
      <c r="B11" s="116">
        <f t="shared" si="1"/>
        <v>36</v>
      </c>
      <c r="C11" s="116">
        <f>7+5+19+14+16+19+22+2+6+9+28+18+18+41+27+5+6+6+8+10+18+19+63+5+6+8+12+14</f>
        <v>431</v>
      </c>
      <c r="D11" s="176">
        <f t="shared" si="0"/>
        <v>11.972222222222221</v>
      </c>
      <c r="E11" s="24">
        <v>8</v>
      </c>
      <c r="F11" s="114">
        <v>10</v>
      </c>
      <c r="G11" s="24">
        <v>11</v>
      </c>
      <c r="H11" s="247">
        <v>7</v>
      </c>
      <c r="I11" s="164">
        <f>22/5</f>
        <v>4.4</v>
      </c>
      <c r="J11" s="165">
        <f>5/4</f>
        <v>1.25</v>
      </c>
    </row>
    <row r="12" spans="1:10" ht="12.75">
      <c r="A12" s="170" t="s">
        <v>17</v>
      </c>
      <c r="B12" s="162">
        <f t="shared" si="1"/>
        <v>36</v>
      </c>
      <c r="C12" s="162">
        <f>5+17+21+25+7+7+8+22+24+14+17+4+11+14+13+15+17+19+19+30+7+17+19+28+16+16+18</f>
        <v>430</v>
      </c>
      <c r="D12" s="176">
        <f t="shared" si="0"/>
        <v>11.944444444444445</v>
      </c>
      <c r="E12" s="161">
        <v>10</v>
      </c>
      <c r="F12" s="162">
        <v>5</v>
      </c>
      <c r="G12" s="161">
        <v>17</v>
      </c>
      <c r="H12" s="165">
        <v>4</v>
      </c>
      <c r="I12" s="164">
        <v>7.2</v>
      </c>
      <c r="J12" s="165">
        <v>0.8</v>
      </c>
    </row>
    <row r="13" spans="1:10" ht="12.75">
      <c r="A13" s="171" t="s">
        <v>18</v>
      </c>
      <c r="B13" s="116">
        <f t="shared" si="1"/>
        <v>32</v>
      </c>
      <c r="C13" s="116">
        <f>1+2+5+7+9+12+18+22+28+5+7+26+22+22+26+8+4+6+10+14+16+18+19+23+27+4+20+20</f>
        <v>401</v>
      </c>
      <c r="D13" s="176">
        <f t="shared" si="0"/>
        <v>12.53125</v>
      </c>
      <c r="E13" s="24">
        <v>10</v>
      </c>
      <c r="F13" s="114">
        <v>6</v>
      </c>
      <c r="G13" s="24">
        <v>7</v>
      </c>
      <c r="H13" s="247">
        <v>9</v>
      </c>
      <c r="I13" s="164">
        <v>8.75</v>
      </c>
      <c r="J13" s="165">
        <v>2.25</v>
      </c>
    </row>
    <row r="14" spans="1:10" ht="12.75">
      <c r="A14" s="170" t="s">
        <v>19</v>
      </c>
      <c r="B14" s="116">
        <f t="shared" si="1"/>
        <v>33</v>
      </c>
      <c r="C14" s="116">
        <f>2+2+14+30+7+8+18+19+19+48+3+7+28+16+38+5+11+12+17+18+4+8+9+10+16+19+23</f>
        <v>411</v>
      </c>
      <c r="D14" s="176">
        <f t="shared" si="0"/>
        <v>12.454545454545455</v>
      </c>
      <c r="E14" s="115">
        <v>7</v>
      </c>
      <c r="F14" s="116">
        <v>3</v>
      </c>
      <c r="G14" s="115">
        <v>18</v>
      </c>
      <c r="H14" s="129">
        <v>5</v>
      </c>
      <c r="I14" s="164">
        <v>6.75</v>
      </c>
      <c r="J14" s="165">
        <v>2.5</v>
      </c>
    </row>
    <row r="15" spans="1:10" ht="12.75">
      <c r="A15" s="172" t="s">
        <v>20</v>
      </c>
      <c r="B15" s="116">
        <f t="shared" si="1"/>
        <v>35</v>
      </c>
      <c r="C15" s="116">
        <f>4+15+14+17+24+27+14+30+22+25+5+12+8+10+12+14+16+17+17+17+22+11+7+13+15+21</f>
        <v>409</v>
      </c>
      <c r="D15" s="176">
        <f t="shared" si="0"/>
        <v>11.685714285714285</v>
      </c>
      <c r="E15" s="24">
        <v>9</v>
      </c>
      <c r="F15" s="114">
        <v>11</v>
      </c>
      <c r="G15" s="24">
        <v>8</v>
      </c>
      <c r="H15" s="247">
        <v>7</v>
      </c>
      <c r="I15" s="164">
        <v>8.5</v>
      </c>
      <c r="J15" s="165">
        <v>0.5</v>
      </c>
    </row>
    <row r="16" spans="1:10" ht="12.75">
      <c r="A16" s="170" t="s">
        <v>21</v>
      </c>
      <c r="B16" s="116">
        <f t="shared" si="1"/>
        <v>38</v>
      </c>
      <c r="C16" s="162">
        <f>2+4+5+6+6+9+19+22+1+13+14+15+18+21+1+3+4+4+12+13+16+19+24+25+26+1+2+4+6+7+9+10+19+20+20+21</f>
        <v>421</v>
      </c>
      <c r="D16" s="176">
        <f t="shared" si="0"/>
        <v>11.078947368421053</v>
      </c>
      <c r="E16" s="115">
        <v>11</v>
      </c>
      <c r="F16" s="116">
        <v>7</v>
      </c>
      <c r="G16" s="115">
        <v>11</v>
      </c>
      <c r="H16" s="129">
        <v>9</v>
      </c>
      <c r="I16" s="164">
        <f>43/4</f>
        <v>10.75</v>
      </c>
      <c r="J16" s="165">
        <v>1.5</v>
      </c>
    </row>
    <row r="17" spans="1:10" ht="13.5" thickBot="1">
      <c r="A17" s="279" t="s">
        <v>22</v>
      </c>
      <c r="B17" s="118">
        <f>SUM(E17:H17)</f>
        <v>30</v>
      </c>
      <c r="C17" s="118">
        <f>1+5+8+9+13+15+18+22+1+6+6+22+26+1+8+9+22+3+6+9+18+1+4+4+13+14+14+15+16+21</f>
        <v>330</v>
      </c>
      <c r="D17" s="179">
        <f>IF(B17=0,0,C17/B17)</f>
        <v>11</v>
      </c>
      <c r="E17" s="117">
        <v>8</v>
      </c>
      <c r="F17" s="118">
        <v>8</v>
      </c>
      <c r="G17" s="117">
        <v>9</v>
      </c>
      <c r="H17" s="132">
        <v>5</v>
      </c>
      <c r="I17" s="164">
        <v>6.8</v>
      </c>
      <c r="J17" s="165">
        <v>2</v>
      </c>
    </row>
    <row r="18" spans="1:10" ht="13.5" thickBot="1">
      <c r="A18" s="278" t="s">
        <v>46</v>
      </c>
      <c r="B18" s="208">
        <f>SUM(B6:B17)</f>
        <v>381</v>
      </c>
      <c r="C18" s="208">
        <f>SUM(C6:C17)</f>
        <v>4433</v>
      </c>
      <c r="D18" s="209">
        <f>C18/B18</f>
        <v>11.63517060367454</v>
      </c>
      <c r="E18" s="210">
        <f>SUM(E6:E17)</f>
        <v>108</v>
      </c>
      <c r="F18" s="208">
        <f>SUM(F6:F17)</f>
        <v>72</v>
      </c>
      <c r="G18" s="210">
        <f>SUM(G6:G17)</f>
        <v>133</v>
      </c>
      <c r="H18" s="248">
        <f>SUM(H6:H17)</f>
        <v>68</v>
      </c>
      <c r="I18" s="255" t="s">
        <v>90</v>
      </c>
      <c r="J18" s="256"/>
    </row>
    <row r="19" spans="1:10" ht="14.25" thickBot="1" thickTop="1">
      <c r="A19" s="258" t="s">
        <v>59</v>
      </c>
      <c r="B19" s="259"/>
      <c r="C19" s="259"/>
      <c r="D19" s="260"/>
      <c r="E19" s="212">
        <f>E18/$B$18</f>
        <v>0.28346456692913385</v>
      </c>
      <c r="F19" s="212">
        <f>F18/$B$18</f>
        <v>0.1889763779527559</v>
      </c>
      <c r="G19" s="212">
        <f>G18/$B$18</f>
        <v>0.34908136482939633</v>
      </c>
      <c r="H19" s="249">
        <f>H18/$B$18</f>
        <v>0.1784776902887139</v>
      </c>
      <c r="I19" s="257">
        <f>SUM(I6:I17)/12</f>
        <v>6.75</v>
      </c>
      <c r="J19" s="263">
        <f>SUM(J6:J17)/12</f>
        <v>1.7166666666666668</v>
      </c>
    </row>
    <row r="20" spans="1:10" ht="13.5" thickBot="1">
      <c r="A20" s="258" t="s">
        <v>82</v>
      </c>
      <c r="B20" s="259"/>
      <c r="C20" s="259"/>
      <c r="D20" s="259"/>
      <c r="E20" s="153"/>
      <c r="F20" s="214">
        <f>SUM(F19:H19)</f>
        <v>0.7165354330708662</v>
      </c>
      <c r="G20" s="215"/>
      <c r="H20" s="215"/>
      <c r="I20" s="270" t="s">
        <v>83</v>
      </c>
      <c r="J20" s="271"/>
    </row>
    <row r="21" spans="1:10" ht="14.25" thickBot="1" thickTop="1">
      <c r="A21" s="261" t="s">
        <v>84</v>
      </c>
      <c r="B21" s="262"/>
      <c r="C21" s="262"/>
      <c r="D21" s="262"/>
      <c r="E21" s="251">
        <f>SUM(E19:F19)</f>
        <v>0.47244094488188976</v>
      </c>
      <c r="F21" s="252"/>
      <c r="G21" s="251">
        <f>SUM(G19:H19)</f>
        <v>0.5275590551181102</v>
      </c>
      <c r="H21" s="272"/>
      <c r="I21" s="436">
        <f>5+7+12+20+10+9+7+17+5+2+5+8</f>
        <v>107</v>
      </c>
      <c r="J21" s="437"/>
    </row>
    <row r="22" spans="1:10" ht="13.5" thickBot="1">
      <c r="A22" s="149"/>
      <c r="B22" s="25"/>
      <c r="C22" s="25"/>
      <c r="D22" s="25"/>
      <c r="E22" s="25"/>
      <c r="F22" s="120"/>
      <c r="G22" s="120"/>
      <c r="H22" s="25"/>
      <c r="I22" s="25"/>
      <c r="J22" s="175"/>
    </row>
    <row r="23" spans="1:10" ht="15.75" thickBot="1">
      <c r="A23" s="277" t="s">
        <v>87</v>
      </c>
      <c r="B23" s="159">
        <v>1996</v>
      </c>
      <c r="C23" s="159">
        <v>1997</v>
      </c>
      <c r="D23" s="159">
        <v>1998</v>
      </c>
      <c r="E23" s="159">
        <v>1999</v>
      </c>
      <c r="F23" s="201">
        <v>2000</v>
      </c>
      <c r="G23" s="201">
        <v>2001</v>
      </c>
      <c r="H23" s="267">
        <v>2002</v>
      </c>
      <c r="I23" s="86"/>
      <c r="J23" s="202"/>
    </row>
    <row r="24" spans="1:10" ht="15">
      <c r="A24" s="264" t="s">
        <v>91</v>
      </c>
      <c r="B24" s="220">
        <v>355</v>
      </c>
      <c r="C24" s="220">
        <v>376</v>
      </c>
      <c r="D24" s="220">
        <f>'1998'!D25</f>
        <v>351</v>
      </c>
      <c r="E24" s="221">
        <f>'1999'!B18</f>
        <v>394.83333333333337</v>
      </c>
      <c r="F24" s="221">
        <f>'2000'!F26</f>
        <v>360</v>
      </c>
      <c r="G24" s="221">
        <f>'2001'!B18</f>
        <v>343</v>
      </c>
      <c r="H24" s="268">
        <f>'2002'!B18</f>
        <v>354</v>
      </c>
      <c r="I24" s="86"/>
      <c r="J24" s="202"/>
    </row>
    <row r="25" spans="1:10" ht="15">
      <c r="A25" s="265" t="s">
        <v>92</v>
      </c>
      <c r="B25" s="222">
        <v>2930</v>
      </c>
      <c r="C25" s="222">
        <v>3248</v>
      </c>
      <c r="D25" s="222">
        <f>'1998'!D26</f>
        <v>3609</v>
      </c>
      <c r="E25" s="223">
        <f>'1999'!C18</f>
        <v>4015.1666666666665</v>
      </c>
      <c r="F25" s="224">
        <f>'2000'!F27</f>
        <v>3781</v>
      </c>
      <c r="G25" s="224">
        <f>'2001'!C18</f>
        <v>3842</v>
      </c>
      <c r="H25" s="162">
        <f>'2002'!C18</f>
        <v>4152</v>
      </c>
      <c r="I25" s="86"/>
      <c r="J25" s="202"/>
    </row>
    <row r="26" spans="1:10" ht="15">
      <c r="A26" s="265" t="s">
        <v>53</v>
      </c>
      <c r="B26" s="225">
        <v>8.3</v>
      </c>
      <c r="C26" s="225">
        <v>8.6</v>
      </c>
      <c r="D26" s="226">
        <f>'1998'!D27</f>
        <v>10.282051282051283</v>
      </c>
      <c r="E26" s="226">
        <f>'1999'!D18</f>
        <v>10.169269734065004</v>
      </c>
      <c r="F26" s="226">
        <f>'2000'!F28</f>
        <v>10.502777777777778</v>
      </c>
      <c r="G26" s="226">
        <f>'2001'!G26</f>
        <v>11.201166180758017</v>
      </c>
      <c r="H26" s="176">
        <f>'2002'!D18</f>
        <v>11.728813559322035</v>
      </c>
      <c r="I26" s="86"/>
      <c r="J26" s="202"/>
    </row>
    <row r="27" spans="1:10" ht="15">
      <c r="A27" s="265" t="s">
        <v>54</v>
      </c>
      <c r="B27" s="225">
        <v>12</v>
      </c>
      <c r="C27" s="225">
        <v>21</v>
      </c>
      <c r="D27" s="225">
        <f>'1998'!D28</f>
        <v>29</v>
      </c>
      <c r="E27" s="224">
        <f>'1999'!H18</f>
        <v>30.333333333333332</v>
      </c>
      <c r="F27" s="224">
        <f>'2000'!F29</f>
        <v>38</v>
      </c>
      <c r="G27" s="224">
        <f>'2001'!G27</f>
        <v>49</v>
      </c>
      <c r="H27" s="162">
        <f>'2002'!H18</f>
        <v>60</v>
      </c>
      <c r="I27" s="86"/>
      <c r="J27" s="202"/>
    </row>
    <row r="28" spans="1:10" ht="15">
      <c r="A28" s="265" t="s">
        <v>55</v>
      </c>
      <c r="B28" s="227">
        <v>0.03</v>
      </c>
      <c r="C28" s="227">
        <v>0.06</v>
      </c>
      <c r="D28" s="228">
        <f>'1998'!D29</f>
        <v>0.08262108262108261</v>
      </c>
      <c r="E28" s="228">
        <f>'1999'!H19</f>
        <v>0.07682566483748415</v>
      </c>
      <c r="F28" s="245">
        <v>0.106</v>
      </c>
      <c r="G28" s="245">
        <f>'2001'!G28</f>
        <v>0.14285714285714285</v>
      </c>
      <c r="H28" s="269">
        <f>'2002'!H19</f>
        <v>0.1694915254237288</v>
      </c>
      <c r="I28" s="86"/>
      <c r="J28" s="202"/>
    </row>
    <row r="29" spans="1:10" ht="15">
      <c r="A29" s="273" t="s">
        <v>94</v>
      </c>
      <c r="B29" s="122"/>
      <c r="C29" s="122"/>
      <c r="D29" s="122"/>
      <c r="E29" s="122"/>
      <c r="F29" s="122"/>
      <c r="G29" s="122"/>
      <c r="H29" s="122"/>
      <c r="I29" s="86"/>
      <c r="J29" s="202"/>
    </row>
    <row r="30" spans="1:10" ht="12.75">
      <c r="A30" s="273" t="s">
        <v>88</v>
      </c>
      <c r="B30" s="122"/>
      <c r="C30" s="122"/>
      <c r="D30" s="122"/>
      <c r="E30" s="122"/>
      <c r="F30" s="122"/>
      <c r="G30" s="122"/>
      <c r="H30" s="122"/>
      <c r="I30" s="122"/>
      <c r="J30" s="242"/>
    </row>
    <row r="31" spans="1:10" ht="12.75">
      <c r="A31" s="273" t="s">
        <v>98</v>
      </c>
      <c r="B31" s="122"/>
      <c r="C31" s="122"/>
      <c r="D31" s="122"/>
      <c r="E31" s="122"/>
      <c r="F31" s="122"/>
      <c r="G31" s="122"/>
      <c r="H31" s="122"/>
      <c r="I31" s="122"/>
      <c r="J31" s="242"/>
    </row>
    <row r="32" spans="1:10" ht="12.75">
      <c r="A32" s="273" t="s">
        <v>89</v>
      </c>
      <c r="B32" s="122"/>
      <c r="C32" s="122"/>
      <c r="D32" s="122"/>
      <c r="E32" s="122"/>
      <c r="F32" s="122"/>
      <c r="G32" s="122"/>
      <c r="H32" s="122"/>
      <c r="I32" s="122"/>
      <c r="J32" s="242"/>
    </row>
    <row r="33" spans="1:10" ht="13.5" thickBot="1">
      <c r="A33" s="274" t="s">
        <v>96</v>
      </c>
      <c r="B33" s="243"/>
      <c r="C33" s="243"/>
      <c r="D33" s="243"/>
      <c r="E33" s="243"/>
      <c r="F33" s="243"/>
      <c r="G33" s="243"/>
      <c r="H33" s="243"/>
      <c r="I33" s="243"/>
      <c r="J33" s="244"/>
    </row>
  </sheetData>
  <mergeCells count="1">
    <mergeCell ref="I21:J21"/>
  </mergeCells>
  <printOptions horizontalCentered="1" verticalCentered="1"/>
  <pageMargins left="0.75" right="0.75" top="1" bottom="1" header="0.5" footer="0.5"/>
  <pageSetup fitToHeight="1" fitToWidth="1" horizontalDpi="600" verticalDpi="600" orientation="landscape" scale="88" r:id="rId1"/>
  <headerFooter alignWithMargins="0">
    <oddHeader>&amp;C&amp;A</oddHeader>
    <oddFooter>&amp;LJim Steele&amp;CPage &amp;P&amp;R&amp;D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D51" sqref="D51"/>
    </sheetView>
  </sheetViews>
  <sheetFormatPr defaultColWidth="9.140625" defaultRowHeight="12.75"/>
  <cols>
    <col min="1" max="1" width="33.00390625" style="0" customWidth="1"/>
    <col min="2" max="2" width="9.8515625" style="0" bestFit="1" customWidth="1"/>
    <col min="3" max="3" width="10.421875" style="0" bestFit="1" customWidth="1"/>
    <col min="4" max="4" width="12.28125" style="0" customWidth="1"/>
    <col min="5" max="5" width="10.8515625" style="0" customWidth="1"/>
    <col min="6" max="6" width="12.57421875" style="0" customWidth="1"/>
    <col min="7" max="7" width="11.140625" style="0" bestFit="1" customWidth="1"/>
    <col min="8" max="8" width="14.140625" style="0" customWidth="1"/>
    <col min="9" max="9" width="11.28125" style="0" customWidth="1"/>
    <col min="10" max="10" width="11.8515625" style="0" customWidth="1"/>
  </cols>
  <sheetData>
    <row r="1" spans="1:10" ht="33">
      <c r="A1" s="40" t="s">
        <v>30</v>
      </c>
      <c r="B1" s="147"/>
      <c r="C1" s="147"/>
      <c r="D1" s="147"/>
      <c r="E1" s="147"/>
      <c r="F1" s="147"/>
      <c r="G1" s="147"/>
      <c r="H1" s="147"/>
      <c r="I1" s="147"/>
      <c r="J1" s="148"/>
    </row>
    <row r="2" spans="1:10" ht="13.5" thickBot="1">
      <c r="A2" s="43"/>
      <c r="B2" s="44"/>
      <c r="C2" s="44"/>
      <c r="D2" s="44"/>
      <c r="E2" s="44"/>
      <c r="F2" s="44"/>
      <c r="G2" s="44"/>
      <c r="H2" s="44"/>
      <c r="I2" s="44"/>
      <c r="J2" s="45"/>
    </row>
    <row r="3" spans="1:10" ht="13.5" thickBot="1">
      <c r="A3" s="287"/>
      <c r="B3" s="288"/>
      <c r="C3" s="288"/>
      <c r="D3" s="288"/>
      <c r="E3" s="230" t="s">
        <v>31</v>
      </c>
      <c r="F3" s="290"/>
      <c r="G3" s="290"/>
      <c r="H3" s="231"/>
      <c r="I3" s="230" t="s">
        <v>76</v>
      </c>
      <c r="J3" s="231"/>
    </row>
    <row r="4" spans="1:10" ht="13.5" thickBot="1">
      <c r="A4" s="291">
        <v>2004</v>
      </c>
      <c r="B4" s="292" t="s">
        <v>93</v>
      </c>
      <c r="C4" s="292" t="s">
        <v>34</v>
      </c>
      <c r="D4" s="292" t="s">
        <v>35</v>
      </c>
      <c r="E4" s="293" t="s">
        <v>36</v>
      </c>
      <c r="F4" s="294" t="s">
        <v>37</v>
      </c>
      <c r="G4" s="293" t="s">
        <v>38</v>
      </c>
      <c r="H4" s="295" t="s">
        <v>39</v>
      </c>
      <c r="I4" s="300" t="s">
        <v>97</v>
      </c>
      <c r="J4" s="301"/>
    </row>
    <row r="5" spans="1:10" ht="12.75">
      <c r="A5" s="207" t="s">
        <v>70</v>
      </c>
      <c r="B5" s="116" t="s">
        <v>4</v>
      </c>
      <c r="C5" s="116" t="s">
        <v>95</v>
      </c>
      <c r="D5" s="116" t="s">
        <v>41</v>
      </c>
      <c r="E5" s="24" t="s">
        <v>41</v>
      </c>
      <c r="F5" s="114" t="s">
        <v>41</v>
      </c>
      <c r="G5" s="24" t="s">
        <v>41</v>
      </c>
      <c r="H5" s="123" t="s">
        <v>41</v>
      </c>
      <c r="I5" s="177" t="s">
        <v>42</v>
      </c>
      <c r="J5" s="299" t="s">
        <v>43</v>
      </c>
    </row>
    <row r="6" spans="1:10" ht="12.75">
      <c r="A6" s="170" t="s">
        <v>11</v>
      </c>
      <c r="B6" s="116">
        <f>SUM(E6:H6)</f>
        <v>32</v>
      </c>
      <c r="C6" s="116">
        <f>3+5+16+12+17+17+18+24+27+7+11+13+15+18+20+22+24+5+6+7+10+13+19+19+20+14+19+23</f>
        <v>424</v>
      </c>
      <c r="D6" s="176">
        <f aca="true" t="shared" si="0" ref="D6:D16">IF(B6=0,0,C6/B6)</f>
        <v>13.25</v>
      </c>
      <c r="E6" s="115">
        <v>7</v>
      </c>
      <c r="F6" s="116">
        <v>5</v>
      </c>
      <c r="G6" s="115">
        <v>13</v>
      </c>
      <c r="H6" s="128">
        <v>7</v>
      </c>
      <c r="I6" s="176">
        <f>37/4</f>
        <v>9.25</v>
      </c>
      <c r="J6" s="281">
        <v>1</v>
      </c>
    </row>
    <row r="7" spans="1:10" ht="12.75">
      <c r="A7" s="171" t="s">
        <v>12</v>
      </c>
      <c r="B7" s="116">
        <f aca="true" t="shared" si="1" ref="B7:B16">SUM(E7:H7)</f>
        <v>35</v>
      </c>
      <c r="C7" s="116">
        <f>1+2+10+16+1+4+4+8+11+12+14+20+2+6+18+10+11+14+15+16+21+22+28+40+3+9+12+12+21+24+28</f>
        <v>415</v>
      </c>
      <c r="D7" s="176">
        <f t="shared" si="0"/>
        <v>11.857142857142858</v>
      </c>
      <c r="E7" s="24">
        <v>10</v>
      </c>
      <c r="F7" s="114">
        <v>7</v>
      </c>
      <c r="G7" s="24">
        <v>10</v>
      </c>
      <c r="H7" s="123">
        <v>8</v>
      </c>
      <c r="I7" s="176">
        <f>47/4</f>
        <v>11.75</v>
      </c>
      <c r="J7" s="281">
        <v>0.75</v>
      </c>
    </row>
    <row r="8" spans="1:10" ht="12.75">
      <c r="A8" s="170" t="s">
        <v>13</v>
      </c>
      <c r="B8" s="116">
        <f>SUM(E8:H8)</f>
        <v>25</v>
      </c>
      <c r="C8" s="116">
        <f>20+16+5+4+17+18+24+30+2+13+14+15+15+20+27+5+12+12+15+17+22+23</f>
        <v>346</v>
      </c>
      <c r="D8" s="176">
        <f t="shared" si="0"/>
        <v>13.84</v>
      </c>
      <c r="E8" s="115">
        <v>6</v>
      </c>
      <c r="F8" s="116">
        <v>2</v>
      </c>
      <c r="G8" s="115">
        <v>11</v>
      </c>
      <c r="H8" s="128">
        <v>6</v>
      </c>
      <c r="I8" s="176">
        <f>62/5</f>
        <v>12.4</v>
      </c>
      <c r="J8" s="281">
        <f>9/5</f>
        <v>1.8</v>
      </c>
    </row>
    <row r="9" spans="1:10" ht="12.75">
      <c r="A9" s="172" t="s">
        <v>14</v>
      </c>
      <c r="B9" s="116">
        <f t="shared" si="1"/>
        <v>24</v>
      </c>
      <c r="C9" s="116">
        <f>1+8+15+19+21+24+6+10+12+16+18+20+20+23+31+17+16+18+20+22+28</f>
        <v>365</v>
      </c>
      <c r="D9" s="176">
        <f t="shared" si="0"/>
        <v>15.208333333333334</v>
      </c>
      <c r="E9" s="24">
        <v>2</v>
      </c>
      <c r="F9" s="114">
        <v>6</v>
      </c>
      <c r="G9" s="24">
        <v>7</v>
      </c>
      <c r="H9" s="123">
        <v>9</v>
      </c>
      <c r="I9" s="176">
        <f>29/4</f>
        <v>7.25</v>
      </c>
      <c r="J9" s="281">
        <v>3.75</v>
      </c>
    </row>
    <row r="10" spans="1:10" ht="12.75">
      <c r="A10" s="170" t="s">
        <v>15</v>
      </c>
      <c r="B10" s="116">
        <f t="shared" si="1"/>
        <v>32</v>
      </c>
      <c r="C10" s="116">
        <f>2+3+7+8+10+17+18+18+18+4+3+12+14+30+22+1+5+5+10+11+13+14+20+5+3+4+4+10+18+24</f>
        <v>333</v>
      </c>
      <c r="D10" s="176">
        <f t="shared" si="0"/>
        <v>10.40625</v>
      </c>
      <c r="E10" s="115">
        <v>12</v>
      </c>
      <c r="F10" s="116">
        <v>5</v>
      </c>
      <c r="G10" s="115">
        <v>12</v>
      </c>
      <c r="H10" s="128">
        <v>3</v>
      </c>
      <c r="I10" s="176">
        <f>24/4</f>
        <v>6</v>
      </c>
      <c r="J10" s="281">
        <v>2</v>
      </c>
    </row>
    <row r="11" spans="1:10" ht="12.75">
      <c r="A11" s="173" t="s">
        <v>16</v>
      </c>
      <c r="B11" s="116">
        <f t="shared" si="1"/>
        <v>42</v>
      </c>
      <c r="C11" s="116">
        <f>1+1+1+1+5+6+10+11+13+14+17+18+1+1+9+15+23+28+1+1+2+6+9+10+13+19+19+20+20+7+9+15+18+3+5+8+26+21+22+23+29</f>
        <v>481</v>
      </c>
      <c r="D11" s="176">
        <f t="shared" si="0"/>
        <v>11.452380952380953</v>
      </c>
      <c r="E11" s="24">
        <v>12</v>
      </c>
      <c r="F11" s="114">
        <v>8</v>
      </c>
      <c r="G11" s="24">
        <v>13</v>
      </c>
      <c r="H11" s="123">
        <v>9</v>
      </c>
      <c r="I11" s="176">
        <f>49/5</f>
        <v>9.8</v>
      </c>
      <c r="J11" s="281">
        <f>10/5</f>
        <v>2</v>
      </c>
    </row>
    <row r="12" spans="1:10" ht="12.75">
      <c r="A12" s="170" t="s">
        <v>17</v>
      </c>
      <c r="B12" s="162">
        <f t="shared" si="1"/>
        <v>36</v>
      </c>
      <c r="C12" s="162">
        <f>3+4+6+8+12+12+13+14+16+1+3+5+18+31+4+5+5+7+12+14+15+20+20+1+6+6+17+20+22+29</f>
        <v>349</v>
      </c>
      <c r="D12" s="176">
        <f t="shared" si="0"/>
        <v>9.694444444444445</v>
      </c>
      <c r="E12" s="161">
        <v>11</v>
      </c>
      <c r="F12" s="162">
        <v>7</v>
      </c>
      <c r="G12" s="161">
        <v>11</v>
      </c>
      <c r="H12" s="163">
        <v>7</v>
      </c>
      <c r="I12" s="176">
        <v>8.75</v>
      </c>
      <c r="J12" s="281">
        <f>5/4</f>
        <v>1.25</v>
      </c>
    </row>
    <row r="13" spans="1:10" ht="12.75">
      <c r="A13" s="171" t="s">
        <v>18</v>
      </c>
      <c r="B13" s="116">
        <f t="shared" si="1"/>
        <v>34</v>
      </c>
      <c r="C13" s="116">
        <f>2+1+7+10+23+12+15+8+29+27+1+19+3+7+6+23+20+23+1+5+15+2+7+21+5+2+24+17+20+21+16+3+24</f>
        <v>419</v>
      </c>
      <c r="D13" s="176">
        <f t="shared" si="0"/>
        <v>12.323529411764707</v>
      </c>
      <c r="E13" s="24">
        <v>10</v>
      </c>
      <c r="F13" s="114">
        <v>7</v>
      </c>
      <c r="G13" s="24">
        <v>6</v>
      </c>
      <c r="H13" s="123">
        <v>11</v>
      </c>
      <c r="I13" s="176">
        <f>62/5</f>
        <v>12.4</v>
      </c>
      <c r="J13" s="281">
        <f>9/5</f>
        <v>1.8</v>
      </c>
    </row>
    <row r="14" spans="1:10" ht="12.75">
      <c r="A14" s="170" t="s">
        <v>19</v>
      </c>
      <c r="B14" s="116">
        <f t="shared" si="1"/>
        <v>30</v>
      </c>
      <c r="C14" s="116">
        <f>25+8+9+20+2+16+3+16+3+25+15+13+19+15+13+19+24+4+20+16+39+5+9+1+12+11+3+6+24+17</f>
        <v>412</v>
      </c>
      <c r="D14" s="176">
        <f t="shared" si="0"/>
        <v>13.733333333333333</v>
      </c>
      <c r="E14" s="115">
        <v>7</v>
      </c>
      <c r="F14" s="116">
        <v>4</v>
      </c>
      <c r="G14" s="115">
        <v>11</v>
      </c>
      <c r="H14" s="128">
        <v>8</v>
      </c>
      <c r="I14" s="176">
        <f>29/4</f>
        <v>7.25</v>
      </c>
      <c r="J14" s="281">
        <v>3.75</v>
      </c>
    </row>
    <row r="15" spans="1:10" ht="12.75">
      <c r="A15" s="172" t="s">
        <v>20</v>
      </c>
      <c r="B15" s="116">
        <f t="shared" si="1"/>
        <v>34</v>
      </c>
      <c r="C15" s="116">
        <f>20+25+8+8+6+7+18+3+26+28+19+7+23+9+15+23+18+3+15+2+17+1+11+11+7+10+21+5+1+8+5+8+3+22</f>
        <v>413</v>
      </c>
      <c r="D15" s="176">
        <f t="shared" si="0"/>
        <v>12.147058823529411</v>
      </c>
      <c r="E15" s="24">
        <v>8</v>
      </c>
      <c r="F15" s="114">
        <v>9</v>
      </c>
      <c r="G15" s="24">
        <v>8</v>
      </c>
      <c r="H15" s="123">
        <v>9</v>
      </c>
      <c r="I15" s="176">
        <f>24/4</f>
        <v>6</v>
      </c>
      <c r="J15" s="281">
        <v>2</v>
      </c>
    </row>
    <row r="16" spans="1:10" ht="12.75">
      <c r="A16" s="170" t="s">
        <v>21</v>
      </c>
      <c r="B16" s="116">
        <f t="shared" si="1"/>
        <v>42</v>
      </c>
      <c r="C16" s="162">
        <f>20+7+5+10+7+7+19+19+22+5+6+15+14+14+5+25+16+14+4+18+20+21+13+26+27+20+5+10+11+4+7+22+20+3+17+23+2+21+20+9+6+16</f>
        <v>575</v>
      </c>
      <c r="D16" s="176">
        <f t="shared" si="0"/>
        <v>13.69047619047619</v>
      </c>
      <c r="E16" s="115">
        <v>8</v>
      </c>
      <c r="F16" s="116">
        <v>9</v>
      </c>
      <c r="G16" s="115">
        <v>12</v>
      </c>
      <c r="H16" s="128">
        <v>13</v>
      </c>
      <c r="I16" s="176">
        <f>49/5</f>
        <v>9.8</v>
      </c>
      <c r="J16" s="281">
        <f>10/5</f>
        <v>2</v>
      </c>
    </row>
    <row r="17" spans="1:10" ht="13.5" thickBot="1">
      <c r="A17" s="279" t="s">
        <v>22</v>
      </c>
      <c r="B17" s="118">
        <f>SUM(E17:H17)</f>
        <v>28</v>
      </c>
      <c r="C17" s="118">
        <f>2+19+10+1+1+8+1+14+2+23+10+2+1+23+27+7+9+13+15+4+15+16+14+17+17+20+1+5</f>
        <v>297</v>
      </c>
      <c r="D17" s="179">
        <f>IF(B17=0,0,C17/B17)</f>
        <v>10.607142857142858</v>
      </c>
      <c r="E17" s="117">
        <v>10</v>
      </c>
      <c r="F17" s="118">
        <v>5</v>
      </c>
      <c r="G17" s="118">
        <v>9</v>
      </c>
      <c r="H17" s="130">
        <v>4</v>
      </c>
      <c r="I17" s="176">
        <v>8.75</v>
      </c>
      <c r="J17" s="281">
        <f>5/4</f>
        <v>1.25</v>
      </c>
    </row>
    <row r="18" spans="1:10" ht="13.5" thickBot="1">
      <c r="A18" s="278" t="s">
        <v>46</v>
      </c>
      <c r="B18" s="208">
        <f>SUM(B6:B17)</f>
        <v>394</v>
      </c>
      <c r="C18" s="208">
        <f>SUM(C6:C17)</f>
        <v>4829</v>
      </c>
      <c r="D18" s="209">
        <f>C18/B18</f>
        <v>12.256345177664974</v>
      </c>
      <c r="E18" s="210">
        <f>SUM(E6:E17)</f>
        <v>103</v>
      </c>
      <c r="F18" s="208">
        <f>SUM(F6:F17)</f>
        <v>74</v>
      </c>
      <c r="G18" s="210">
        <f>SUM(G6:G17)</f>
        <v>123</v>
      </c>
      <c r="H18" s="248">
        <f>SUM(H6:H17)</f>
        <v>94</v>
      </c>
      <c r="I18" s="255" t="s">
        <v>90</v>
      </c>
      <c r="J18" s="256"/>
    </row>
    <row r="19" spans="1:10" ht="14.25" thickBot="1" thickTop="1">
      <c r="A19" s="298" t="s">
        <v>59</v>
      </c>
      <c r="B19" s="296"/>
      <c r="C19" s="296"/>
      <c r="D19" s="297"/>
      <c r="E19" s="212">
        <f>E18/$B$18</f>
        <v>0.2614213197969543</v>
      </c>
      <c r="F19" s="212">
        <f>F18/$B$18</f>
        <v>0.18781725888324874</v>
      </c>
      <c r="G19" s="212">
        <f>G18/$B$18</f>
        <v>0.31218274111675126</v>
      </c>
      <c r="H19" s="249">
        <f>H18/$B$18</f>
        <v>0.23857868020304568</v>
      </c>
      <c r="I19" s="283">
        <f>SUM(I6:I17)/12</f>
        <v>9.116666666666667</v>
      </c>
      <c r="J19" s="284">
        <f>SUM(J6:J17)/12</f>
        <v>1.9458333333333335</v>
      </c>
    </row>
    <row r="20" spans="1:10" ht="13.5" thickBot="1">
      <c r="A20" s="258" t="s">
        <v>82</v>
      </c>
      <c r="B20" s="259"/>
      <c r="C20" s="259"/>
      <c r="D20" s="259"/>
      <c r="E20" s="153"/>
      <c r="F20" s="214">
        <f>SUM(F19:H19)</f>
        <v>0.7385786802030456</v>
      </c>
      <c r="G20" s="215"/>
      <c r="H20" s="215"/>
      <c r="I20" s="270" t="s">
        <v>104</v>
      </c>
      <c r="J20" s="271"/>
    </row>
    <row r="21" spans="1:10" ht="14.25" thickBot="1" thickTop="1">
      <c r="A21" s="261" t="s">
        <v>84</v>
      </c>
      <c r="B21" s="262"/>
      <c r="C21" s="262"/>
      <c r="D21" s="262"/>
      <c r="E21" s="251">
        <f>SUM(E19:F19)</f>
        <v>0.44923857868020306</v>
      </c>
      <c r="F21" s="252"/>
      <c r="G21" s="251">
        <f>SUM(G19:H19)</f>
        <v>0.5507614213197969</v>
      </c>
      <c r="H21" s="272"/>
      <c r="I21" s="436">
        <f>14+20+2+4+16+14+20+2+4+16</f>
        <v>112</v>
      </c>
      <c r="J21" s="437"/>
    </row>
    <row r="22" spans="1:10" ht="13.5" thickBot="1">
      <c r="A22" s="149"/>
      <c r="B22" s="25"/>
      <c r="C22" s="25"/>
      <c r="D22" s="25"/>
      <c r="E22" s="25"/>
      <c r="F22" s="120"/>
      <c r="G22" s="120"/>
      <c r="H22" s="25"/>
      <c r="I22" s="25"/>
      <c r="J22" s="175"/>
    </row>
    <row r="23" spans="1:10" ht="13.5" thickBot="1">
      <c r="A23" s="277" t="s">
        <v>87</v>
      </c>
      <c r="B23" s="159">
        <v>1996</v>
      </c>
      <c r="C23" s="159">
        <v>1997</v>
      </c>
      <c r="D23" s="159">
        <v>1998</v>
      </c>
      <c r="E23" s="159">
        <v>1999</v>
      </c>
      <c r="F23" s="201">
        <v>2000</v>
      </c>
      <c r="G23" s="201">
        <v>2001</v>
      </c>
      <c r="H23" s="267">
        <v>2002</v>
      </c>
      <c r="I23" s="267">
        <v>2003</v>
      </c>
      <c r="J23" s="267">
        <v>2004</v>
      </c>
    </row>
    <row r="24" spans="1:10" ht="12.75">
      <c r="A24" s="264" t="s">
        <v>91</v>
      </c>
      <c r="B24" s="220">
        <v>355</v>
      </c>
      <c r="C24" s="220">
        <v>376</v>
      </c>
      <c r="D24" s="220">
        <f>'1998'!D25</f>
        <v>351</v>
      </c>
      <c r="E24" s="221">
        <f>'1999'!B18</f>
        <v>394.83333333333337</v>
      </c>
      <c r="F24" s="221">
        <f>'2000'!F26</f>
        <v>360</v>
      </c>
      <c r="G24" s="221">
        <f>'2001'!B18</f>
        <v>343</v>
      </c>
      <c r="H24" s="268">
        <f>'2002'!B18</f>
        <v>354</v>
      </c>
      <c r="I24" s="268">
        <f>'2003'!B18</f>
        <v>381</v>
      </c>
      <c r="J24" s="268">
        <f>B18</f>
        <v>394</v>
      </c>
    </row>
    <row r="25" spans="1:10" ht="12.75">
      <c r="A25" s="265" t="s">
        <v>92</v>
      </c>
      <c r="B25" s="222">
        <v>2930</v>
      </c>
      <c r="C25" s="222">
        <v>3248</v>
      </c>
      <c r="D25" s="222">
        <f>'1998'!D26</f>
        <v>3609</v>
      </c>
      <c r="E25" s="223">
        <f>'1999'!C18</f>
        <v>4015.1666666666665</v>
      </c>
      <c r="F25" s="224">
        <f>'2000'!F27</f>
        <v>3781</v>
      </c>
      <c r="G25" s="224">
        <f>'2001'!C18</f>
        <v>3842</v>
      </c>
      <c r="H25" s="162">
        <f>'2002'!C18</f>
        <v>4152</v>
      </c>
      <c r="I25" s="162">
        <f>'2003'!C18</f>
        <v>4433</v>
      </c>
      <c r="J25" s="162">
        <f>C18</f>
        <v>4829</v>
      </c>
    </row>
    <row r="26" spans="1:10" ht="12.75">
      <c r="A26" s="265" t="s">
        <v>53</v>
      </c>
      <c r="B26" s="225">
        <v>8.3</v>
      </c>
      <c r="C26" s="225">
        <v>8.6</v>
      </c>
      <c r="D26" s="226">
        <f>'1998'!D27</f>
        <v>10.282051282051283</v>
      </c>
      <c r="E26" s="226">
        <f>'1999'!D18</f>
        <v>10.169269734065004</v>
      </c>
      <c r="F26" s="226">
        <f>'2000'!F28</f>
        <v>10.502777777777778</v>
      </c>
      <c r="G26" s="226">
        <f>'2001'!G26</f>
        <v>11.201166180758017</v>
      </c>
      <c r="H26" s="176">
        <f>'2002'!D18</f>
        <v>11.728813559322035</v>
      </c>
      <c r="I26" s="176">
        <f>'2003'!D18</f>
        <v>11.63517060367454</v>
      </c>
      <c r="J26" s="176">
        <f>D18</f>
        <v>12.256345177664974</v>
      </c>
    </row>
    <row r="27" spans="1:10" ht="12.75">
      <c r="A27" s="265" t="s">
        <v>54</v>
      </c>
      <c r="B27" s="225">
        <v>12</v>
      </c>
      <c r="C27" s="225">
        <v>21</v>
      </c>
      <c r="D27" s="225">
        <f>'1998'!D28</f>
        <v>29</v>
      </c>
      <c r="E27" s="224">
        <f>'1999'!H18</f>
        <v>30.333333333333332</v>
      </c>
      <c r="F27" s="224">
        <f>'2000'!F29</f>
        <v>38</v>
      </c>
      <c r="G27" s="224">
        <f>'2001'!G27</f>
        <v>49</v>
      </c>
      <c r="H27" s="162">
        <f>'2002'!H18</f>
        <v>60</v>
      </c>
      <c r="I27" s="162">
        <f>'2003'!H18</f>
        <v>68</v>
      </c>
      <c r="J27" s="162">
        <f>H18</f>
        <v>94</v>
      </c>
    </row>
    <row r="28" spans="1:10" ht="12.75">
      <c r="A28" s="265" t="s">
        <v>55</v>
      </c>
      <c r="B28" s="227">
        <v>0.03</v>
      </c>
      <c r="C28" s="227">
        <v>0.06</v>
      </c>
      <c r="D28" s="228">
        <f>'1998'!D29</f>
        <v>0.08262108262108261</v>
      </c>
      <c r="E28" s="228">
        <f>'1999'!H19</f>
        <v>0.07682566483748415</v>
      </c>
      <c r="F28" s="245">
        <v>0.106</v>
      </c>
      <c r="G28" s="245">
        <f>'2001'!G28</f>
        <v>0.14285714285714285</v>
      </c>
      <c r="H28" s="269">
        <f>'2002'!H19</f>
        <v>0.1694915254237288</v>
      </c>
      <c r="I28" s="280">
        <f>'2003'!H19</f>
        <v>0.1784776902887139</v>
      </c>
      <c r="J28" s="280">
        <f>H19</f>
        <v>0.23857868020304568</v>
      </c>
    </row>
    <row r="29" spans="1:10" ht="15">
      <c r="A29" s="273" t="s">
        <v>94</v>
      </c>
      <c r="B29" s="122"/>
      <c r="C29" s="122"/>
      <c r="D29" s="122"/>
      <c r="E29" s="122"/>
      <c r="F29" s="122"/>
      <c r="G29" s="122"/>
      <c r="H29" s="122"/>
      <c r="I29" s="86"/>
      <c r="J29" s="202"/>
    </row>
    <row r="30" spans="1:10" ht="12.75">
      <c r="A30" s="273" t="s">
        <v>99</v>
      </c>
      <c r="B30" s="122"/>
      <c r="C30" s="122"/>
      <c r="D30" s="122"/>
      <c r="E30" s="122"/>
      <c r="F30" s="122"/>
      <c r="G30" s="122"/>
      <c r="H30" s="122"/>
      <c r="I30" s="122"/>
      <c r="J30" s="242"/>
    </row>
    <row r="31" spans="1:10" ht="12.75">
      <c r="A31" s="273" t="s">
        <v>98</v>
      </c>
      <c r="B31" s="122"/>
      <c r="C31" s="122"/>
      <c r="D31" s="122"/>
      <c r="E31" s="122"/>
      <c r="F31" s="122"/>
      <c r="G31" s="122"/>
      <c r="H31" s="122"/>
      <c r="I31" s="122"/>
      <c r="J31" s="242"/>
    </row>
    <row r="32" spans="1:10" ht="12.75">
      <c r="A32" s="273" t="s">
        <v>105</v>
      </c>
      <c r="B32" s="122"/>
      <c r="C32" s="122"/>
      <c r="D32" s="122"/>
      <c r="E32" s="122"/>
      <c r="F32" s="122"/>
      <c r="G32" s="122"/>
      <c r="H32" s="122"/>
      <c r="I32" s="122"/>
      <c r="J32" s="242"/>
    </row>
    <row r="33" spans="1:10" ht="12.75">
      <c r="A33" s="273" t="s">
        <v>106</v>
      </c>
      <c r="B33" s="122"/>
      <c r="C33" s="122"/>
      <c r="D33" s="122"/>
      <c r="E33" s="122"/>
      <c r="F33" s="122"/>
      <c r="G33" s="122"/>
      <c r="H33" s="122"/>
      <c r="I33" s="122"/>
      <c r="J33" s="242"/>
    </row>
    <row r="34" spans="1:10" ht="12.75">
      <c r="A34" s="273" t="s">
        <v>100</v>
      </c>
      <c r="B34" s="122"/>
      <c r="C34" s="122"/>
      <c r="D34" s="122"/>
      <c r="E34" s="122"/>
      <c r="F34" s="122"/>
      <c r="G34" s="122"/>
      <c r="H34" s="122"/>
      <c r="I34" s="122"/>
      <c r="J34" s="242"/>
    </row>
    <row r="35" spans="1:10" ht="12.75">
      <c r="A35" s="302" t="s">
        <v>103</v>
      </c>
      <c r="B35" s="25"/>
      <c r="C35" s="25"/>
      <c r="D35" s="25"/>
      <c r="E35" s="25"/>
      <c r="F35" s="25"/>
      <c r="G35" s="25"/>
      <c r="H35" s="25"/>
      <c r="I35" s="25"/>
      <c r="J35" s="175"/>
    </row>
    <row r="36" spans="1:10" ht="12.75">
      <c r="A36" s="303" t="s">
        <v>107</v>
      </c>
      <c r="B36" s="25"/>
      <c r="C36" s="25"/>
      <c r="D36" s="25"/>
      <c r="E36" s="25"/>
      <c r="F36" s="25"/>
      <c r="G36" s="25"/>
      <c r="H36" s="25"/>
      <c r="I36" s="25"/>
      <c r="J36" s="175"/>
    </row>
    <row r="37" spans="1:10" ht="12.75">
      <c r="A37" s="303" t="s">
        <v>109</v>
      </c>
      <c r="B37" s="25"/>
      <c r="C37" s="25"/>
      <c r="D37" s="25"/>
      <c r="E37" s="25"/>
      <c r="F37" s="25"/>
      <c r="G37" s="25"/>
      <c r="H37" s="25"/>
      <c r="I37" s="25"/>
      <c r="J37" s="175"/>
    </row>
    <row r="38" spans="1:10" ht="13.5" thickBot="1">
      <c r="A38" s="304" t="s">
        <v>108</v>
      </c>
      <c r="B38" s="197"/>
      <c r="C38" s="197"/>
      <c r="D38" s="197"/>
      <c r="E38" s="197"/>
      <c r="F38" s="197"/>
      <c r="G38" s="197"/>
      <c r="H38" s="197"/>
      <c r="I38" s="197"/>
      <c r="J38" s="206"/>
    </row>
  </sheetData>
  <mergeCells count="1">
    <mergeCell ref="I21:J21"/>
  </mergeCells>
  <printOptions horizontalCentered="1" verticalCentered="1"/>
  <pageMargins left="0.75" right="0.75" top="1" bottom="1" header="0.5" footer="0.5"/>
  <pageSetup fitToHeight="1" fitToWidth="1" horizontalDpi="600" verticalDpi="600" orientation="landscape" scale="89" r:id="rId1"/>
  <headerFooter alignWithMargins="0">
    <oddHeader>&amp;C&amp;A</oddHeader>
    <oddFooter>&amp;CPrepared by Jim Steele &amp;D&amp;RPage &amp;P</oddFooter>
  </headerFooter>
  <ignoredErrors>
    <ignoredError sqref="B12 B1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D51" sqref="D51"/>
    </sheetView>
  </sheetViews>
  <sheetFormatPr defaultColWidth="9.140625" defaultRowHeight="12.75"/>
  <cols>
    <col min="1" max="1" width="29.421875" style="0" customWidth="1"/>
    <col min="2" max="2" width="10.28125" style="0" customWidth="1"/>
    <col min="3" max="3" width="10.140625" style="0" customWidth="1"/>
    <col min="4" max="4" width="13.28125" style="0" customWidth="1"/>
    <col min="5" max="5" width="16.8515625" style="0" customWidth="1"/>
    <col min="6" max="6" width="14.421875" style="0" customWidth="1"/>
    <col min="7" max="7" width="13.8515625" style="0" customWidth="1"/>
    <col min="8" max="8" width="14.421875" style="0" customWidth="1"/>
    <col min="9" max="9" width="12.8515625" style="0" customWidth="1"/>
    <col min="10" max="10" width="14.00390625" style="0" customWidth="1"/>
    <col min="11" max="11" width="14.28125" style="0" customWidth="1"/>
  </cols>
  <sheetData>
    <row r="1" spans="1:10" ht="33.75" thickBot="1">
      <c r="A1" s="40" t="s">
        <v>30</v>
      </c>
      <c r="B1" s="147"/>
      <c r="C1" s="147"/>
      <c r="D1" s="147"/>
      <c r="E1" s="147"/>
      <c r="F1" s="147"/>
      <c r="G1" s="147"/>
      <c r="H1" s="147"/>
      <c r="I1" s="147"/>
      <c r="J1" s="148"/>
    </row>
    <row r="2" spans="1:10" ht="13.5" thickBot="1">
      <c r="A2" s="332" t="s">
        <v>115</v>
      </c>
      <c r="B2" s="288"/>
      <c r="C2" s="288"/>
      <c r="D2" s="289"/>
      <c r="E2" s="230" t="s">
        <v>31</v>
      </c>
      <c r="F2" s="290"/>
      <c r="G2" s="290"/>
      <c r="H2" s="290"/>
      <c r="I2" s="438" t="s">
        <v>76</v>
      </c>
      <c r="J2" s="439"/>
    </row>
    <row r="3" spans="1:10" ht="12.75">
      <c r="A3" s="351">
        <v>2005</v>
      </c>
      <c r="B3" s="330" t="s">
        <v>93</v>
      </c>
      <c r="C3" s="292" t="s">
        <v>34</v>
      </c>
      <c r="D3" s="292" t="s">
        <v>35</v>
      </c>
      <c r="E3" s="293" t="s">
        <v>36</v>
      </c>
      <c r="F3" s="294" t="s">
        <v>37</v>
      </c>
      <c r="G3" s="293" t="s">
        <v>38</v>
      </c>
      <c r="H3" s="350" t="s">
        <v>39</v>
      </c>
      <c r="I3" s="124" t="s">
        <v>97</v>
      </c>
      <c r="J3" s="125"/>
    </row>
    <row r="4" spans="1:10" ht="13.5" thickBot="1">
      <c r="A4" s="352" t="s">
        <v>70</v>
      </c>
      <c r="B4" s="331" t="s">
        <v>4</v>
      </c>
      <c r="C4" s="116" t="s">
        <v>95</v>
      </c>
      <c r="D4" s="116" t="s">
        <v>41</v>
      </c>
      <c r="E4" s="24" t="s">
        <v>41</v>
      </c>
      <c r="F4" s="114" t="s">
        <v>41</v>
      </c>
      <c r="G4" s="24" t="s">
        <v>41</v>
      </c>
      <c r="H4" s="123" t="s">
        <v>41</v>
      </c>
      <c r="I4" s="126" t="s">
        <v>110</v>
      </c>
      <c r="J4" s="127" t="s">
        <v>43</v>
      </c>
    </row>
    <row r="5" spans="1:10" ht="12.75">
      <c r="A5" s="171" t="s">
        <v>11</v>
      </c>
      <c r="B5" s="116">
        <f>SUM(E5:H5)</f>
        <v>43</v>
      </c>
      <c r="C5" s="116">
        <f>1+10+14+18+19+25+1+1+2+2+3+6+9+18+19+22+23+2+14+20+25+28+1+4+6+8+13+15+18+20+20+20+22+31</f>
        <v>460</v>
      </c>
      <c r="D5" s="176">
        <f aca="true" t="shared" si="0" ref="D5:D15">IF(B5=0,0,C5/B5)</f>
        <v>10.69767441860465</v>
      </c>
      <c r="E5" s="115">
        <f>1+5+1+2</f>
        <v>9</v>
      </c>
      <c r="F5" s="116">
        <f>1+2+0+2</f>
        <v>5</v>
      </c>
      <c r="G5" s="115">
        <f>3+2+13</f>
        <v>18</v>
      </c>
      <c r="H5" s="128">
        <f>1+2+3+5</f>
        <v>11</v>
      </c>
      <c r="I5" s="282">
        <f>(15+11+10)/4</f>
        <v>9</v>
      </c>
      <c r="J5" s="281">
        <f>(3+2+5)/4</f>
        <v>2.5</v>
      </c>
    </row>
    <row r="6" spans="1:10" ht="12.75">
      <c r="A6" s="171" t="s">
        <v>12</v>
      </c>
      <c r="B6" s="116">
        <f aca="true" t="shared" si="1" ref="B6:B15">SUM(E6:H6)</f>
        <v>36</v>
      </c>
      <c r="C6" s="116">
        <f>2+3+4+9+13+23+2+4+10+12+15+17+13+23+29+22+1+23+21+13+7+10+13+12+8+2+41+10+11+1+1+2+2+3+10+29</f>
        <v>421</v>
      </c>
      <c r="D6" s="176">
        <f t="shared" si="0"/>
        <v>11.694444444444445</v>
      </c>
      <c r="E6" s="24">
        <v>11</v>
      </c>
      <c r="F6" s="114">
        <v>7</v>
      </c>
      <c r="G6" s="24">
        <v>10</v>
      </c>
      <c r="H6" s="123">
        <v>8</v>
      </c>
      <c r="I6" s="282">
        <f>(8+13+11+11)/4</f>
        <v>10.75</v>
      </c>
      <c r="J6" s="281">
        <f>(3+4+4+1+4)/4</f>
        <v>4</v>
      </c>
    </row>
    <row r="7" spans="1:10" ht="12.75">
      <c r="A7" s="170" t="s">
        <v>13</v>
      </c>
      <c r="B7" s="116">
        <f>SUM(E7:H7)</f>
        <v>30</v>
      </c>
      <c r="C7" s="116">
        <f>5+5+5+9+11+14+22+25+4+11+17+5+16+25+3+5+8+15+15+21+28+1+1+4+5+13+16+18+24</f>
        <v>351</v>
      </c>
      <c r="D7" s="176">
        <f t="shared" si="0"/>
        <v>11.7</v>
      </c>
      <c r="E7" s="115">
        <v>10</v>
      </c>
      <c r="F7" s="116">
        <v>2</v>
      </c>
      <c r="G7" s="115">
        <v>12</v>
      </c>
      <c r="H7" s="128">
        <v>6</v>
      </c>
      <c r="I7" s="282">
        <f>(5+11+6+5+10)/5</f>
        <v>7.4</v>
      </c>
      <c r="J7" s="281">
        <f>(3+7+1+2+3)/5</f>
        <v>3.2</v>
      </c>
    </row>
    <row r="8" spans="1:10" ht="12.75">
      <c r="A8" s="172" t="s">
        <v>14</v>
      </c>
      <c r="B8" s="116">
        <f t="shared" si="1"/>
        <v>26</v>
      </c>
      <c r="C8" s="116">
        <f>1+1+8+14+22+1+1+7+13+17+19+20+21+25+1+11+11+15+21+24+1+5+8+17+19+29</f>
        <v>332</v>
      </c>
      <c r="D8" s="176">
        <f t="shared" si="0"/>
        <v>12.76923076923077</v>
      </c>
      <c r="E8" s="24">
        <v>7</v>
      </c>
      <c r="F8" s="114">
        <v>3</v>
      </c>
      <c r="G8" s="24">
        <v>9</v>
      </c>
      <c r="H8" s="123">
        <v>7</v>
      </c>
      <c r="I8" s="282">
        <f>(12+14+14+19)/4</f>
        <v>14.75</v>
      </c>
      <c r="J8" s="281">
        <f>(1+1+5+1)/4</f>
        <v>2</v>
      </c>
    </row>
    <row r="9" spans="1:10" ht="12.75">
      <c r="A9" s="170" t="s">
        <v>15</v>
      </c>
      <c r="B9" s="116">
        <f t="shared" si="1"/>
        <v>34</v>
      </c>
      <c r="C9" s="116">
        <f>1+4+9+11+1+3+8+11+15+19+19+23+1+2+4+6+7+15+19+1+3+4+5+5+14+17+1+6+11+12+14+18+19+25</f>
        <v>333</v>
      </c>
      <c r="D9" s="176">
        <f t="shared" si="0"/>
        <v>9.794117647058824</v>
      </c>
      <c r="E9" s="115">
        <v>13</v>
      </c>
      <c r="F9" s="116">
        <v>5</v>
      </c>
      <c r="G9" s="115">
        <v>14</v>
      </c>
      <c r="H9" s="128">
        <v>2</v>
      </c>
      <c r="I9" s="282">
        <f>46/5</f>
        <v>9.2</v>
      </c>
      <c r="J9" s="281">
        <f>10/5</f>
        <v>2</v>
      </c>
    </row>
    <row r="10" spans="1:10" ht="12.75">
      <c r="A10" s="173" t="s">
        <v>16</v>
      </c>
      <c r="B10" s="116">
        <f t="shared" si="1"/>
        <v>35</v>
      </c>
      <c r="C10" s="116">
        <f>2+2+4+10+12+18+22+24+29+2+2+3+9+10+11+12+14+16+20+20+21+21+22+23+24+4+7+8+10+16+19+27+19+25</f>
        <v>488</v>
      </c>
      <c r="D10" s="176">
        <f t="shared" si="0"/>
        <v>13.942857142857143</v>
      </c>
      <c r="E10" s="24">
        <v>7</v>
      </c>
      <c r="F10" s="114">
        <v>6</v>
      </c>
      <c r="G10" s="24">
        <v>9</v>
      </c>
      <c r="H10" s="123">
        <v>13</v>
      </c>
      <c r="I10" s="282">
        <f>(21+18+18)/3</f>
        <v>19</v>
      </c>
      <c r="J10" s="281">
        <f>(3+6+6)/3</f>
        <v>5</v>
      </c>
    </row>
    <row r="11" spans="1:10" ht="12.75">
      <c r="A11" s="170" t="s">
        <v>17</v>
      </c>
      <c r="B11" s="162">
        <f t="shared" si="1"/>
        <v>40</v>
      </c>
      <c r="C11" s="162">
        <f>1+4+5+8+10+28+1+1+2+4+6+12+13+17+18+19+22+1+1+2+5+5+6+6+15+15+15+20+21+21+32+1+3+6+7+8+21+30</f>
        <v>412</v>
      </c>
      <c r="D11" s="176">
        <f t="shared" si="0"/>
        <v>10.3</v>
      </c>
      <c r="E11" s="161">
        <v>14</v>
      </c>
      <c r="F11" s="162">
        <v>8</v>
      </c>
      <c r="G11" s="161">
        <v>11</v>
      </c>
      <c r="H11" s="163">
        <v>7</v>
      </c>
      <c r="I11" s="282">
        <f>27/3</f>
        <v>9</v>
      </c>
      <c r="J11" s="281">
        <f>5/3</f>
        <v>1.6666666666666667</v>
      </c>
    </row>
    <row r="12" spans="1:10" ht="12.75">
      <c r="A12" s="171" t="s">
        <v>18</v>
      </c>
      <c r="B12" s="116">
        <f t="shared" si="1"/>
        <v>37</v>
      </c>
      <c r="C12" s="116">
        <f>1+4+16+16+20+23+24+28+30+1+1+1+2+7+8+11+13+18+20+24+6+8+16+18+24+2+2+3+21+22+25+25+4+17+18</f>
        <v>479</v>
      </c>
      <c r="D12" s="176">
        <f t="shared" si="0"/>
        <v>12.945945945945946</v>
      </c>
      <c r="E12" s="24">
        <v>10</v>
      </c>
      <c r="F12" s="114">
        <v>6</v>
      </c>
      <c r="G12" s="24">
        <v>9</v>
      </c>
      <c r="H12" s="123">
        <v>12</v>
      </c>
      <c r="I12" s="282">
        <f>57/5</f>
        <v>11.4</v>
      </c>
      <c r="J12" s="281">
        <f>10/5</f>
        <v>2</v>
      </c>
    </row>
    <row r="13" spans="1:10" ht="12.75">
      <c r="A13" s="170" t="s">
        <v>19</v>
      </c>
      <c r="B13" s="116">
        <f t="shared" si="1"/>
        <v>34</v>
      </c>
      <c r="C13" s="116">
        <f>1+1+1+20+21+22+26+1+1+3+4+4+9+10+14+17+21+26+1+4+16+20+40+1+2+4+7+10+12+18+22+25+27</f>
        <v>411</v>
      </c>
      <c r="D13" s="176">
        <f t="shared" si="0"/>
        <v>12.088235294117647</v>
      </c>
      <c r="E13" s="115">
        <v>14</v>
      </c>
      <c r="F13" s="116">
        <v>4</v>
      </c>
      <c r="G13" s="115">
        <v>5</v>
      </c>
      <c r="H13" s="128">
        <v>11</v>
      </c>
      <c r="I13" s="282">
        <f>(9+5+8+5)/4</f>
        <v>6.75</v>
      </c>
      <c r="J13" s="281">
        <f>(7+5+3+3)/4</f>
        <v>4.5</v>
      </c>
    </row>
    <row r="14" spans="1:10" ht="12.75">
      <c r="A14" s="172" t="s">
        <v>20</v>
      </c>
      <c r="B14" s="116">
        <f t="shared" si="1"/>
        <v>28</v>
      </c>
      <c r="C14" s="116">
        <f>5+6+8+9+21+26+7+9+19+27+29+1+1+9+10+12+16+18+20+24+30+3+8+8+9+19+22+23</f>
        <v>399</v>
      </c>
      <c r="D14" s="176">
        <f t="shared" si="0"/>
        <v>14.25</v>
      </c>
      <c r="E14" s="24">
        <v>4</v>
      </c>
      <c r="F14" s="114">
        <v>10</v>
      </c>
      <c r="G14" s="24">
        <v>5</v>
      </c>
      <c r="H14" s="123">
        <v>9</v>
      </c>
      <c r="I14" s="282">
        <f>(14+15+16+18)/4</f>
        <v>15.75</v>
      </c>
      <c r="J14" s="281">
        <f>(1+4+5)/4</f>
        <v>2.5</v>
      </c>
    </row>
    <row r="15" spans="1:10" ht="12.75">
      <c r="A15" s="170" t="s">
        <v>21</v>
      </c>
      <c r="B15" s="116">
        <f t="shared" si="1"/>
        <v>41</v>
      </c>
      <c r="C15" s="162">
        <f>6+8+9+11+16+5+6+11+15+15+20+21+24+1+14+15+16+17+19+20+21+22+23+26+27+28+1+6+6+8+11+12+23+7+10+17+18+21+21+22</f>
        <v>599</v>
      </c>
      <c r="D15" s="176">
        <f t="shared" si="0"/>
        <v>14.609756097560975</v>
      </c>
      <c r="E15" s="115">
        <v>4</v>
      </c>
      <c r="F15" s="116">
        <v>9</v>
      </c>
      <c r="G15" s="115">
        <v>14</v>
      </c>
      <c r="H15" s="128">
        <v>14</v>
      </c>
      <c r="I15" s="282">
        <f>(13+18+9+5+5)/5</f>
        <v>10</v>
      </c>
      <c r="J15" s="281">
        <f>(2+1+4+1)/5</f>
        <v>1.6</v>
      </c>
    </row>
    <row r="16" spans="1:10" ht="13.5" thickBot="1">
      <c r="A16" s="279" t="s">
        <v>22</v>
      </c>
      <c r="B16" s="118">
        <f>SUM(E16:H16)</f>
        <v>34</v>
      </c>
      <c r="C16" s="118">
        <f>1+1+5+9+14+15+20+1+1+3+3+8+24+24+24+1+2+2+2+10+11+16+20+21+1+2+2+4+5+6+15+16+17+18</f>
        <v>324</v>
      </c>
      <c r="D16" s="179">
        <f>IF(B16=0,0,C16/B16)</f>
        <v>9.529411764705882</v>
      </c>
      <c r="E16" s="130">
        <v>16</v>
      </c>
      <c r="F16" s="118">
        <v>4</v>
      </c>
      <c r="G16" s="118">
        <v>8</v>
      </c>
      <c r="H16" s="130">
        <v>6</v>
      </c>
      <c r="I16" s="282">
        <f>(10+11+9+8)/4</f>
        <v>9.5</v>
      </c>
      <c r="J16" s="281">
        <f>(4+2+1+5)/4</f>
        <v>3</v>
      </c>
    </row>
    <row r="17" spans="1:10" ht="13.5" thickBot="1">
      <c r="A17" s="278" t="s">
        <v>46</v>
      </c>
      <c r="B17" s="208">
        <f>SUM(B5:B16)</f>
        <v>418</v>
      </c>
      <c r="C17" s="208">
        <f>SUM(C5:C16)</f>
        <v>5009</v>
      </c>
      <c r="D17" s="209">
        <f>C17/B17</f>
        <v>11.983253588516746</v>
      </c>
      <c r="E17" s="210">
        <f>SUM(E5:E16)</f>
        <v>119</v>
      </c>
      <c r="F17" s="208">
        <f>SUM(F5:F16)</f>
        <v>69</v>
      </c>
      <c r="G17" s="210">
        <f>SUM(G5:G16)</f>
        <v>124</v>
      </c>
      <c r="H17" s="211">
        <f>SUM(H5:H16)</f>
        <v>106</v>
      </c>
      <c r="I17" s="255" t="s">
        <v>90</v>
      </c>
      <c r="J17" s="256"/>
    </row>
    <row r="18" spans="1:10" ht="14.25" thickBot="1" thickTop="1">
      <c r="A18" s="258" t="s">
        <v>59</v>
      </c>
      <c r="B18" s="259"/>
      <c r="C18" s="259"/>
      <c r="D18" s="260"/>
      <c r="E18" s="212">
        <f>E17/$B$17</f>
        <v>0.284688995215311</v>
      </c>
      <c r="F18" s="212">
        <f>F17/$B$17</f>
        <v>0.16507177033492823</v>
      </c>
      <c r="G18" s="212">
        <f>G17/$B$17</f>
        <v>0.2966507177033493</v>
      </c>
      <c r="H18" s="213">
        <f>H17/$B$17</f>
        <v>0.2535885167464115</v>
      </c>
      <c r="I18" s="283">
        <f>SUM(I5:I16)/12</f>
        <v>11.041666666666666</v>
      </c>
      <c r="J18" s="284">
        <f>SUM(J5:J16)/12</f>
        <v>2.8305555555555557</v>
      </c>
    </row>
    <row r="19" spans="1:10" ht="13.5" thickBot="1">
      <c r="A19" s="258" t="s">
        <v>82</v>
      </c>
      <c r="B19" s="259"/>
      <c r="C19" s="259"/>
      <c r="D19" s="259"/>
      <c r="E19" s="153"/>
      <c r="F19" s="214">
        <f>SUM(F18:H18)</f>
        <v>0.715311004784689</v>
      </c>
      <c r="G19" s="215"/>
      <c r="H19" s="215"/>
      <c r="I19" s="270" t="s">
        <v>83</v>
      </c>
      <c r="J19" s="271"/>
    </row>
    <row r="20" spans="1:10" ht="14.25" thickBot="1" thickTop="1">
      <c r="A20" s="261" t="s">
        <v>84</v>
      </c>
      <c r="B20" s="262"/>
      <c r="C20" s="262"/>
      <c r="D20" s="262"/>
      <c r="E20" s="251">
        <f>SUM(E18:F18)</f>
        <v>0.44976076555023925</v>
      </c>
      <c r="F20" s="252"/>
      <c r="G20" s="251">
        <f>SUM(G18:H18)</f>
        <v>0.5502392344497608</v>
      </c>
      <c r="H20" s="272"/>
      <c r="I20" s="436">
        <f>0+1+2+1+3+0+3+14+0+0+2+0+9+1+1+1+2+10+2+3+3+8+15+1+4+1+3</f>
        <v>90</v>
      </c>
      <c r="J20" s="437"/>
    </row>
    <row r="21" spans="1:10" ht="13.5" thickBot="1">
      <c r="A21" s="149"/>
      <c r="B21" s="25"/>
      <c r="C21" s="25"/>
      <c r="D21" s="25"/>
      <c r="E21" s="25"/>
      <c r="F21" s="120"/>
      <c r="G21" s="120"/>
      <c r="H21" s="25"/>
      <c r="I21" s="25"/>
      <c r="J21" s="175"/>
    </row>
    <row r="22" spans="1:11" ht="13.5" thickBot="1">
      <c r="A22" s="277" t="s">
        <v>87</v>
      </c>
      <c r="B22" s="159">
        <v>1996</v>
      </c>
      <c r="C22" s="159">
        <v>1997</v>
      </c>
      <c r="D22" s="159">
        <v>1998</v>
      </c>
      <c r="E22" s="159">
        <v>1999</v>
      </c>
      <c r="F22" s="201">
        <v>2000</v>
      </c>
      <c r="G22" s="201">
        <v>2001</v>
      </c>
      <c r="H22" s="267">
        <v>2002</v>
      </c>
      <c r="I22" s="267">
        <v>2003</v>
      </c>
      <c r="J22" s="267">
        <v>2004</v>
      </c>
      <c r="K22" s="305">
        <v>2005</v>
      </c>
    </row>
    <row r="23" spans="1:11" ht="12.75">
      <c r="A23" s="264" t="s">
        <v>91</v>
      </c>
      <c r="B23" s="220">
        <v>355</v>
      </c>
      <c r="C23" s="220">
        <v>376</v>
      </c>
      <c r="D23" s="220">
        <f>'1998'!B18</f>
        <v>351</v>
      </c>
      <c r="E23" s="221">
        <f>'1999'!B18</f>
        <v>394.83333333333337</v>
      </c>
      <c r="F23" s="221">
        <f>'2000'!B18</f>
        <v>360</v>
      </c>
      <c r="G23" s="221">
        <f>'2001'!B18</f>
        <v>343</v>
      </c>
      <c r="H23" s="268">
        <f>'2002'!B18</f>
        <v>354</v>
      </c>
      <c r="I23" s="268">
        <f>'2003'!B18</f>
        <v>381</v>
      </c>
      <c r="J23" s="306">
        <f>'2004'!B18</f>
        <v>394</v>
      </c>
      <c r="K23" s="309">
        <f>B17</f>
        <v>418</v>
      </c>
    </row>
    <row r="24" spans="1:11" ht="12.75">
      <c r="A24" s="265" t="s">
        <v>92</v>
      </c>
      <c r="B24" s="222">
        <v>2930</v>
      </c>
      <c r="C24" s="222">
        <v>3248</v>
      </c>
      <c r="D24" s="222">
        <f>'1998'!C18</f>
        <v>3609</v>
      </c>
      <c r="E24" s="223">
        <f>'1999'!C18</f>
        <v>4015.1666666666665</v>
      </c>
      <c r="F24" s="224">
        <f>'2000'!C18</f>
        <v>3781</v>
      </c>
      <c r="G24" s="224">
        <f>'2001'!C18</f>
        <v>3842</v>
      </c>
      <c r="H24" s="162">
        <f>'2002'!C18</f>
        <v>4152</v>
      </c>
      <c r="I24" s="162">
        <f>'2003'!C18</f>
        <v>4433</v>
      </c>
      <c r="J24" s="163">
        <f>'2004'!C18</f>
        <v>4829</v>
      </c>
      <c r="K24" s="310">
        <f>C17</f>
        <v>5009</v>
      </c>
    </row>
    <row r="25" spans="1:11" ht="12.75">
      <c r="A25" s="265" t="s">
        <v>53</v>
      </c>
      <c r="B25" s="225">
        <v>8.3</v>
      </c>
      <c r="C25" s="225">
        <v>8.6</v>
      </c>
      <c r="D25" s="226">
        <f>'1998'!D18</f>
        <v>10.282051282051283</v>
      </c>
      <c r="E25" s="226">
        <f>'1999'!D18</f>
        <v>10.169269734065004</v>
      </c>
      <c r="F25" s="226">
        <f>'2000'!D18</f>
        <v>10.502777777777778</v>
      </c>
      <c r="G25" s="226">
        <f>'2001'!D18</f>
        <v>11.201166180758017</v>
      </c>
      <c r="H25" s="176">
        <f>'2002'!D18</f>
        <v>11.728813559322035</v>
      </c>
      <c r="I25" s="176">
        <f>'2003'!D18</f>
        <v>11.63517060367454</v>
      </c>
      <c r="J25" s="307">
        <f>'2004'!D18</f>
        <v>12.256345177664974</v>
      </c>
      <c r="K25" s="311">
        <f>D17</f>
        <v>11.983253588516746</v>
      </c>
    </row>
    <row r="26" spans="1:11" ht="12.75">
      <c r="A26" s="265" t="s">
        <v>54</v>
      </c>
      <c r="B26" s="225">
        <f>'96,''97'!B20</f>
        <v>12</v>
      </c>
      <c r="C26" s="225">
        <f>'96,''97'!B40</f>
        <v>21</v>
      </c>
      <c r="D26" s="225">
        <f>'1998'!H18</f>
        <v>29</v>
      </c>
      <c r="E26" s="224">
        <f>'1999'!H18</f>
        <v>30.333333333333332</v>
      </c>
      <c r="F26" s="224">
        <f>'2000'!H18</f>
        <v>38</v>
      </c>
      <c r="G26" s="224">
        <f>'2001'!H18</f>
        <v>49</v>
      </c>
      <c r="H26" s="162">
        <f>'2002'!H18</f>
        <v>60</v>
      </c>
      <c r="I26" s="162">
        <f>'2003'!H18</f>
        <v>68</v>
      </c>
      <c r="J26" s="163">
        <f>'2004'!H18</f>
        <v>94</v>
      </c>
      <c r="K26" s="310">
        <f>H17</f>
        <v>106</v>
      </c>
    </row>
    <row r="27" spans="1:11" ht="12.75">
      <c r="A27" s="265" t="s">
        <v>55</v>
      </c>
      <c r="B27" s="227">
        <v>0.03</v>
      </c>
      <c r="C27" s="227">
        <v>0.06</v>
      </c>
      <c r="D27" s="228">
        <f>'1998'!H19</f>
        <v>0.08262108262108261</v>
      </c>
      <c r="E27" s="228">
        <f>'1999'!H19</f>
        <v>0.07682566483748415</v>
      </c>
      <c r="F27" s="245">
        <v>0.106</v>
      </c>
      <c r="G27" s="245">
        <f>'2001'!H19</f>
        <v>0.14285714285714285</v>
      </c>
      <c r="H27" s="269">
        <f>'2002'!H19</f>
        <v>0.1694915254237288</v>
      </c>
      <c r="I27" s="280">
        <f>'2003'!H19</f>
        <v>0.1784776902887139</v>
      </c>
      <c r="J27" s="308">
        <f>'2004'!H19</f>
        <v>0.23857868020304568</v>
      </c>
      <c r="K27" s="312">
        <f>H18</f>
        <v>0.2535885167464115</v>
      </c>
    </row>
    <row r="28" spans="1:10" ht="15">
      <c r="A28" s="273" t="s">
        <v>94</v>
      </c>
      <c r="B28" s="122"/>
      <c r="C28" s="122"/>
      <c r="D28" s="122"/>
      <c r="E28" s="122"/>
      <c r="F28" s="122"/>
      <c r="G28" s="122"/>
      <c r="H28" s="122"/>
      <c r="I28" s="86"/>
      <c r="J28" s="202"/>
    </row>
    <row r="29" spans="1:10" ht="12.75">
      <c r="A29" s="273" t="s">
        <v>99</v>
      </c>
      <c r="B29" s="122"/>
      <c r="C29" s="122"/>
      <c r="D29" s="122"/>
      <c r="E29" s="122"/>
      <c r="F29" s="122"/>
      <c r="G29" s="122"/>
      <c r="H29" s="122"/>
      <c r="I29" s="122"/>
      <c r="J29" s="242"/>
    </row>
    <row r="30" spans="1:10" ht="12.75">
      <c r="A30" s="273" t="s">
        <v>98</v>
      </c>
      <c r="B30" s="122"/>
      <c r="C30" s="122"/>
      <c r="D30" s="122"/>
      <c r="E30" s="122"/>
      <c r="F30" s="122"/>
      <c r="G30" s="122"/>
      <c r="H30" s="122"/>
      <c r="I30" s="122"/>
      <c r="J30" s="242"/>
    </row>
    <row r="31" spans="1:10" ht="12.75">
      <c r="A31" s="273" t="s">
        <v>89</v>
      </c>
      <c r="B31" s="122"/>
      <c r="C31" s="122"/>
      <c r="D31" s="122"/>
      <c r="E31" s="122"/>
      <c r="F31" s="122"/>
      <c r="G31" s="122"/>
      <c r="H31" s="122"/>
      <c r="I31" s="122"/>
      <c r="J31" s="242"/>
    </row>
    <row r="32" spans="1:10" ht="12.75">
      <c r="A32" s="273" t="s">
        <v>117</v>
      </c>
      <c r="B32" s="122"/>
      <c r="C32" s="122"/>
      <c r="D32" s="122"/>
      <c r="E32" s="122"/>
      <c r="F32" s="122"/>
      <c r="G32" s="122"/>
      <c r="H32" s="122"/>
      <c r="I32" s="122"/>
      <c r="J32" s="242"/>
    </row>
    <row r="33" spans="1:10" ht="12.75">
      <c r="A33" s="273" t="s">
        <v>111</v>
      </c>
      <c r="B33" s="122"/>
      <c r="C33" s="122"/>
      <c r="D33" s="122"/>
      <c r="E33" s="122"/>
      <c r="F33" s="122"/>
      <c r="G33" s="122"/>
      <c r="H33" s="122"/>
      <c r="I33" s="122"/>
      <c r="J33" s="242"/>
    </row>
    <row r="34" spans="1:10" ht="12.75">
      <c r="A34" s="285" t="s">
        <v>103</v>
      </c>
      <c r="B34" s="25"/>
      <c r="C34" s="25"/>
      <c r="D34" s="25"/>
      <c r="E34" s="25"/>
      <c r="F34" s="25"/>
      <c r="G34" s="25"/>
      <c r="H34" s="25"/>
      <c r="I34" s="25"/>
      <c r="J34" s="175"/>
    </row>
    <row r="35" spans="1:10" ht="12.75">
      <c r="A35" s="286" t="s">
        <v>101</v>
      </c>
      <c r="B35" s="25"/>
      <c r="C35" s="25"/>
      <c r="D35" s="25"/>
      <c r="E35" s="25"/>
      <c r="F35" s="25"/>
      <c r="G35" s="25"/>
      <c r="H35" s="25"/>
      <c r="I35" s="25"/>
      <c r="J35" s="175"/>
    </row>
    <row r="36" spans="1:10" ht="12.75">
      <c r="A36" s="286" t="s">
        <v>102</v>
      </c>
      <c r="B36" s="25"/>
      <c r="C36" s="25"/>
      <c r="D36" s="25"/>
      <c r="E36" s="25"/>
      <c r="F36" s="25"/>
      <c r="G36" s="25"/>
      <c r="H36" s="25"/>
      <c r="I36" s="25"/>
      <c r="J36" s="175"/>
    </row>
    <row r="37" spans="1:10" ht="13.5" thickBot="1">
      <c r="A37" s="20" t="s">
        <v>112</v>
      </c>
      <c r="B37" s="197"/>
      <c r="C37" s="197"/>
      <c r="D37" s="197"/>
      <c r="E37" s="197"/>
      <c r="F37" s="197"/>
      <c r="G37" s="197"/>
      <c r="H37" s="197"/>
      <c r="I37" s="197"/>
      <c r="J37" s="206"/>
    </row>
  </sheetData>
  <mergeCells count="2">
    <mergeCell ref="I20:J20"/>
    <mergeCell ref="I2:J2"/>
  </mergeCells>
  <printOptions/>
  <pageMargins left="0.75" right="0.75" top="1" bottom="1" header="0.5" footer="0.5"/>
  <pageSetup fitToHeight="1" fitToWidth="1" orientation="landscape" scale="75" r:id="rId1"/>
  <headerFooter alignWithMargins="0">
    <oddHeader>&amp;C&amp;A</oddHeader>
    <oddFooter>&amp;CPage &amp;P</oddFooter>
  </headerFooter>
  <ignoredErrors>
    <ignoredError sqref="D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Steele</dc:creator>
  <cp:keywords/>
  <dc:description/>
  <cp:lastModifiedBy>Erik Long</cp:lastModifiedBy>
  <cp:lastPrinted>2008-07-01T03:04:13Z</cp:lastPrinted>
  <dcterms:created xsi:type="dcterms:W3CDTF">1997-09-10T05:46:09Z</dcterms:created>
  <dcterms:modified xsi:type="dcterms:W3CDTF">2009-05-08T20:50:12Z</dcterms:modified>
  <cp:category/>
  <cp:version/>
  <cp:contentType/>
  <cp:contentStatus/>
</cp:coreProperties>
</file>